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1D7F984-CF7B-414D-AEE1-57AE7BC7E2A9}" xr6:coauthVersionLast="47" xr6:coauthVersionMax="47" xr10:uidLastSave="{00000000-0000-0000-0000-000000000000}"/>
  <bookViews>
    <workbookView xWindow="-120" yWindow="-120" windowWidth="29040" windowHeight="15720" firstSheet="16" activeTab="19" xr2:uid="{00000000-000D-0000-FFFF-FFFF00000000}"/>
  </bookViews>
  <sheets>
    <sheet name="MIRS PRESIDENCIA" sheetId="1" r:id="rId1"/>
    <sheet name="PRESIDENCIA 26" sheetId="21" r:id="rId2"/>
    <sheet name="MIR SECRETARIA GENERAL" sheetId="5" r:id="rId3"/>
    <sheet name="MIR SINDICATURA" sheetId="2" r:id="rId4"/>
    <sheet name="BD SINDICATURA" sheetId="3" state="hidden" r:id="rId5"/>
    <sheet name="BDPRE1" sheetId="4" state="hidden" r:id="rId6"/>
    <sheet name="SINDICATURA 26" sheetId="22" r:id="rId7"/>
    <sheet name="BD SECRETARIA1" sheetId="6" state="hidden" r:id="rId8"/>
    <sheet name="Hoja 2" sheetId="7" state="hidden" r:id="rId9"/>
    <sheet name="MIR TESORERIA" sheetId="8" state="hidden" r:id="rId10"/>
    <sheet name="MIR CATASTRO" sheetId="9" state="hidden" r:id="rId11"/>
    <sheet name="MIR GESTION DE LA CIUDAD" sheetId="10" state="hidden" r:id="rId12"/>
    <sheet name="MIR SERVICIOS GENERALES" sheetId="11" state="hidden" r:id="rId13"/>
    <sheet name="MIR CONSTRUCCION DE LA COMUNIDA" sheetId="12" state="hidden" r:id="rId14"/>
    <sheet name="MIR SECRETARIA GENERAL 26" sheetId="23" r:id="rId15"/>
    <sheet name="PROGRAMAS SOCIALES" sheetId="13" r:id="rId16"/>
    <sheet name="PROTECCION CIVIL" sheetId="24" r:id="rId17"/>
    <sheet name="PROTECCION CIVIL 26" sheetId="25" r:id="rId18"/>
    <sheet name="PROGRAMAS SOCIALES 26" sheetId="20" r:id="rId19"/>
    <sheet name="MIR GABINETE" sheetId="14" r:id="rId20"/>
    <sheet name="MIR UNIDAD MULTIFUNCIONAL " sheetId="15" state="hidden" r:id="rId21"/>
    <sheet name="MIR DESARROLLO ECONOMICO" sheetId="16" state="hidden" r:id="rId22"/>
    <sheet name="MIR CONTRALORIA " sheetId="17" state="hidden" r:id="rId23"/>
    <sheet name="Hoja2" sheetId="18" state="hidden" r:id="rId24"/>
    <sheet name="GASTO CORRIENTE" sheetId="19" state="hidden" r:id="rId25"/>
  </sheets>
  <externalReferences>
    <externalReference r:id="rId26"/>
  </externalReferences>
  <definedNames>
    <definedName name="_xlnm.Print_Area" localSheetId="15">'PROGRAMAS SOCIALES'!$A$1:$J$39</definedName>
    <definedName name="_xlnm.Print_Area" localSheetId="18">'PROGRAMAS SOCIALES 26'!$A$1:$J$39</definedName>
    <definedName name="_xlnm.Print_Area" localSheetId="16">'PROTECCION CIVIL'!$A$1:$J$33</definedName>
    <definedName name="_xlnm.Print_Area" localSheetId="17">'PROTECCION CIVIL 26'!$A$1:$J$33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27" roundtripDataChecksum="FobTgOpanOUhC0G1FdHdcDixuoCV/P10XlUuTzi42zQ="/>
    </ext>
  </extLst>
</workbook>
</file>

<file path=xl/calcChain.xml><?xml version="1.0" encoding="utf-8"?>
<calcChain xmlns="http://schemas.openxmlformats.org/spreadsheetml/2006/main">
  <c r="F21" i="24" l="1"/>
  <c r="F24" i="24"/>
  <c r="Z43" i="20"/>
  <c r="Z43" i="13"/>
  <c r="N284" i="19"/>
  <c r="M284" i="19"/>
  <c r="L284" i="19"/>
  <c r="K284" i="19"/>
  <c r="J284" i="19"/>
  <c r="I284" i="19"/>
  <c r="H284" i="19"/>
  <c r="G284" i="19"/>
  <c r="F284" i="19"/>
  <c r="E284" i="19"/>
  <c r="D284" i="19"/>
  <c r="C284" i="19"/>
  <c r="N271" i="19"/>
  <c r="M271" i="19"/>
  <c r="L271" i="19"/>
  <c r="K271" i="19"/>
  <c r="J271" i="19"/>
  <c r="I271" i="19"/>
  <c r="H271" i="19"/>
  <c r="G271" i="19"/>
  <c r="F271" i="19"/>
  <c r="E271" i="19"/>
  <c r="D271" i="19"/>
  <c r="C271" i="19"/>
  <c r="N258" i="19"/>
  <c r="M258" i="19"/>
  <c r="L258" i="19"/>
  <c r="K258" i="19"/>
  <c r="J258" i="19"/>
  <c r="I258" i="19"/>
  <c r="H258" i="19"/>
  <c r="G258" i="19"/>
  <c r="F258" i="19"/>
  <c r="E258" i="19"/>
  <c r="D258" i="19"/>
  <c r="C258" i="19"/>
  <c r="N245" i="19"/>
  <c r="M245" i="19"/>
  <c r="L245" i="19"/>
  <c r="K245" i="19"/>
  <c r="J245" i="19"/>
  <c r="I245" i="19"/>
  <c r="H245" i="19"/>
  <c r="G245" i="19"/>
  <c r="F245" i="19"/>
  <c r="E245" i="19"/>
  <c r="D245" i="19"/>
  <c r="C245" i="19"/>
  <c r="N232" i="19"/>
  <c r="M232" i="19"/>
  <c r="L232" i="19"/>
  <c r="K232" i="19"/>
  <c r="J232" i="19"/>
  <c r="I232" i="19"/>
  <c r="H232" i="19"/>
  <c r="G232" i="19"/>
  <c r="F232" i="19"/>
  <c r="E232" i="19"/>
  <c r="D232" i="19"/>
  <c r="C232" i="19"/>
  <c r="N219" i="19"/>
  <c r="M219" i="19"/>
  <c r="L219" i="19"/>
  <c r="K219" i="19"/>
  <c r="J219" i="19"/>
  <c r="I219" i="19"/>
  <c r="H219" i="19"/>
  <c r="G219" i="19"/>
  <c r="F219" i="19"/>
  <c r="E219" i="19"/>
  <c r="D219" i="19"/>
  <c r="C219" i="19"/>
  <c r="N206" i="19"/>
  <c r="M206" i="19"/>
  <c r="L206" i="19"/>
  <c r="K206" i="19"/>
  <c r="J206" i="19"/>
  <c r="I206" i="19"/>
  <c r="H206" i="19"/>
  <c r="G206" i="19"/>
  <c r="F206" i="19"/>
  <c r="E206" i="19"/>
  <c r="D206" i="19"/>
  <c r="C206" i="19"/>
  <c r="N193" i="19"/>
  <c r="M193" i="19"/>
  <c r="L193" i="19"/>
  <c r="K193" i="19"/>
  <c r="J193" i="19"/>
  <c r="I193" i="19"/>
  <c r="H193" i="19"/>
  <c r="G193" i="19"/>
  <c r="F193" i="19"/>
  <c r="E193" i="19"/>
  <c r="D193" i="19"/>
  <c r="C193" i="19"/>
  <c r="N180" i="19"/>
  <c r="M180" i="19"/>
  <c r="L180" i="19"/>
  <c r="K180" i="19"/>
  <c r="J180" i="19"/>
  <c r="I180" i="19"/>
  <c r="H180" i="19"/>
  <c r="G180" i="19"/>
  <c r="F180" i="19"/>
  <c r="E180" i="19"/>
  <c r="D180" i="19"/>
  <c r="C180" i="19"/>
  <c r="N165" i="19"/>
  <c r="M165" i="19"/>
  <c r="L165" i="19"/>
  <c r="K165" i="19"/>
  <c r="J165" i="19"/>
  <c r="I165" i="19"/>
  <c r="H165" i="19"/>
  <c r="G165" i="19"/>
  <c r="F165" i="19"/>
  <c r="E165" i="19"/>
  <c r="D165" i="19"/>
  <c r="C165" i="19"/>
  <c r="C167" i="19" s="1"/>
  <c r="Q14" i="19" s="1"/>
  <c r="N152" i="19"/>
  <c r="M152" i="19"/>
  <c r="L152" i="19"/>
  <c r="K152" i="19"/>
  <c r="J152" i="19"/>
  <c r="I152" i="19"/>
  <c r="H152" i="19"/>
  <c r="G152" i="19"/>
  <c r="F152" i="19"/>
  <c r="E152" i="19"/>
  <c r="D152" i="19"/>
  <c r="C152" i="19"/>
  <c r="N139" i="19"/>
  <c r="M139" i="19"/>
  <c r="L139" i="19"/>
  <c r="K139" i="19"/>
  <c r="J139" i="19"/>
  <c r="I139" i="19"/>
  <c r="H139" i="19"/>
  <c r="G139" i="19"/>
  <c r="F139" i="19"/>
  <c r="E139" i="19"/>
  <c r="D139" i="19"/>
  <c r="C139" i="19"/>
  <c r="N126" i="19"/>
  <c r="M126" i="19"/>
  <c r="L126" i="19"/>
  <c r="K126" i="19"/>
  <c r="J126" i="19"/>
  <c r="I126" i="19"/>
  <c r="H126" i="19"/>
  <c r="G126" i="19"/>
  <c r="F126" i="19"/>
  <c r="E126" i="19"/>
  <c r="D126" i="19"/>
  <c r="C126" i="19"/>
  <c r="N113" i="19"/>
  <c r="M113" i="19"/>
  <c r="L113" i="19"/>
  <c r="K113" i="19"/>
  <c r="J113" i="19"/>
  <c r="I113" i="19"/>
  <c r="H113" i="19"/>
  <c r="G113" i="19"/>
  <c r="F113" i="19"/>
  <c r="E113" i="19"/>
  <c r="D113" i="19"/>
  <c r="C113" i="19"/>
  <c r="N100" i="19"/>
  <c r="M100" i="19"/>
  <c r="L100" i="19"/>
  <c r="K100" i="19"/>
  <c r="J100" i="19"/>
  <c r="I100" i="19"/>
  <c r="H100" i="19"/>
  <c r="G100" i="19"/>
  <c r="F100" i="19"/>
  <c r="E100" i="19"/>
  <c r="D100" i="19"/>
  <c r="C100" i="19"/>
  <c r="N85" i="19"/>
  <c r="M85" i="19"/>
  <c r="L85" i="19"/>
  <c r="K85" i="19"/>
  <c r="J85" i="19"/>
  <c r="I85" i="19"/>
  <c r="H85" i="19"/>
  <c r="G85" i="19"/>
  <c r="F85" i="19"/>
  <c r="E85" i="19"/>
  <c r="D85" i="19"/>
  <c r="C85" i="19"/>
  <c r="N72" i="19"/>
  <c r="M72" i="19"/>
  <c r="L72" i="19"/>
  <c r="K72" i="19"/>
  <c r="J72" i="19"/>
  <c r="I72" i="19"/>
  <c r="H72" i="19"/>
  <c r="G72" i="19"/>
  <c r="F72" i="19"/>
  <c r="E72" i="19"/>
  <c r="D72" i="19"/>
  <c r="C72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P26" i="19"/>
  <c r="O26" i="19"/>
  <c r="P25" i="19"/>
  <c r="O25" i="19"/>
  <c r="P24" i="19"/>
  <c r="O24" i="19"/>
  <c r="P23" i="19"/>
  <c r="O23" i="19"/>
  <c r="P22" i="19"/>
  <c r="O22" i="19"/>
  <c r="P21" i="19"/>
  <c r="O21" i="19"/>
  <c r="P20" i="19"/>
  <c r="O20" i="19"/>
  <c r="P19" i="19"/>
  <c r="O19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Q4" i="19"/>
  <c r="F12" i="15"/>
  <c r="F12" i="9"/>
  <c r="F12" i="8"/>
  <c r="A4" i="7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3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H1" i="6"/>
  <c r="F1" i="6"/>
  <c r="E1" i="6"/>
  <c r="B1" i="6"/>
  <c r="A1" i="6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  <c r="H1" i="4"/>
  <c r="F1" i="4"/>
  <c r="E1" i="4"/>
  <c r="B1" i="4"/>
  <c r="A1" i="4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5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  <c r="H1" i="3"/>
  <c r="F1" i="3"/>
  <c r="E1" i="3"/>
  <c r="B1" i="3"/>
  <c r="A1" i="3"/>
  <c r="C15" i="19" l="1"/>
  <c r="Q3" i="19" s="1"/>
  <c r="C74" i="19"/>
  <c r="Q7" i="19" s="1"/>
  <c r="C182" i="19"/>
  <c r="Q19" i="19" s="1"/>
  <c r="C286" i="19"/>
  <c r="Q26" i="19" s="1"/>
  <c r="C128" i="19"/>
  <c r="Q11" i="19" s="1"/>
  <c r="C57" i="19"/>
  <c r="Q6" i="19" s="1"/>
  <c r="C273" i="19"/>
  <c r="Q25" i="19" s="1"/>
  <c r="C234" i="19"/>
  <c r="Q22" i="19" s="1"/>
  <c r="C115" i="19"/>
  <c r="Q10" i="19" s="1"/>
  <c r="C221" i="19"/>
  <c r="Q21" i="19" s="1"/>
  <c r="Q31" i="19" s="1"/>
  <c r="Q16" i="19" s="1"/>
  <c r="C102" i="19"/>
  <c r="Q9" i="19" s="1"/>
  <c r="C154" i="19"/>
  <c r="Q13" i="19" s="1"/>
  <c r="C208" i="19"/>
  <c r="C44" i="19"/>
  <c r="Q5" i="19" s="1"/>
  <c r="Q15" i="19" s="1"/>
  <c r="C87" i="19"/>
  <c r="Q8" i="19" s="1"/>
  <c r="C141" i="19"/>
  <c r="Q12" i="19" s="1"/>
  <c r="C260" i="19"/>
  <c r="Q24" i="19" s="1"/>
  <c r="C195" i="19"/>
  <c r="Q20" i="19" s="1"/>
  <c r="C247" i="19"/>
  <c r="Q23" i="19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<sst xmlns="http://schemas.openxmlformats.org/spreadsheetml/2006/main" count="3125" uniqueCount="1115">
  <si>
    <t>MATRIZ DE MARCO LOGICO</t>
  </si>
  <si>
    <t>CODIGO</t>
  </si>
  <si>
    <t>F-GAB-03-01</t>
  </si>
  <si>
    <t>VERSIÓN</t>
  </si>
  <si>
    <t>PARTIDA PRESUPUESTAL</t>
  </si>
  <si>
    <t>01</t>
  </si>
  <si>
    <t>DEPENDENCIA</t>
  </si>
  <si>
    <t>PRESIDENCIA</t>
  </si>
  <si>
    <t>PERÍODO</t>
  </si>
  <si>
    <t xml:space="preserve">OCTUBRE 2024 - SEPTIEMBRE 2025	</t>
  </si>
  <si>
    <t>TECHO FINANCIERO PROPUESTO (PUEDE VARIAR)</t>
  </si>
  <si>
    <t xml:space="preserve">GASTO ACTUAL </t>
  </si>
  <si>
    <t>NOMBRE DE LA MIR</t>
  </si>
  <si>
    <t>GOBIERNO DE LAS PUERTAS ABIERTAS</t>
  </si>
  <si>
    <t>PLAN ESTATAL DE DESARROLLO</t>
  </si>
  <si>
    <t>JALISCO CERCANO Y TRANSPARENTE</t>
  </si>
  <si>
    <t>PLAN MUNICIPAL  DE DESARROLLO</t>
  </si>
  <si>
    <t>EJE T.2 . GOBIERNO TRANSPARENTE Y EFICIENTE CON PARTICIPACIÓN COMUNITARIA</t>
  </si>
  <si>
    <t>LINEAS DE ACCIÓN</t>
  </si>
  <si>
    <t>OBJETIVOS DE DESARROLLO  SOSTENIBLE (ONU HABITAD)</t>
  </si>
  <si>
    <t>OBJETIVO 16. PAZ JUSTICIA E INSTITUCIONES SOLIDAS</t>
  </si>
  <si>
    <t>PLAN NACIONAL DE DESARROLLO</t>
  </si>
  <si>
    <t>REPÚBLICA DEMOCRÁTICA, JUSTA, HONESTA,LIBRE, PARTICIPATIVA Y RESPONSABLE</t>
  </si>
  <si>
    <t>PARTES INTERESADAS INTERNAS</t>
  </si>
  <si>
    <t>PARTES INTERESADAS EXTERNAS</t>
  </si>
  <si>
    <t>GOBIERNO ESTATAL Y FEDERAL, ONU, HABITANTES DE ZAPOTLANEJO,OPDS,EMPRESAS</t>
  </si>
  <si>
    <t>NIVEL</t>
  </si>
  <si>
    <t>RESUMEN NARRATIVO</t>
  </si>
  <si>
    <t>INDICADOR</t>
  </si>
  <si>
    <t>META</t>
  </si>
  <si>
    <t>UNIDAD DE MEDIDA DE LA META</t>
  </si>
  <si>
    <t>MEDIDA DE VERIFICACION</t>
  </si>
  <si>
    <t>SUPUESTOS</t>
  </si>
  <si>
    <t>NOMBRE DEL INDICADOR</t>
  </si>
  <si>
    <t>FUENTES DE INFORMACIÓN</t>
  </si>
  <si>
    <t>FRECUENCIA</t>
  </si>
  <si>
    <t xml:space="preserve"> FIN</t>
  </si>
  <si>
    <t xml:space="preserve">CONSOLIDAR UN GOBIERNO ABIERTO QUE RINDA CUENTAS A LA  CIUDADANIA </t>
  </si>
  <si>
    <t xml:space="preserve">CALIFICACION OTORGADA POR CIMTRA EN EL ULTIMO AÑO </t>
  </si>
  <si>
    <t>CIMTRA ( CIUDADANOS POR MUNICIPIOS TRANSPARENTES)</t>
  </si>
  <si>
    <t>ANUAL</t>
  </si>
  <si>
    <t xml:space="preserve">CALIFICACION AÑO ANTERIOR </t>
  </si>
  <si>
    <t>ULTIMA CALIFICACION CIMTRA</t>
  </si>
  <si>
    <t>PAGINA OFICIAL DE CIUDADANOS POR GOBIERNOS TRANSPARENTES</t>
  </si>
  <si>
    <t>MALA FUNDAMENTACION PARA SUPUESTOS EVALUADOS/ INCERTIDUMBRE ACTUAL CON ESTE TIPO DE INSTITUCIONES A NIVEL FEDERAL</t>
  </si>
  <si>
    <t>AVANCE ACTUAL</t>
  </si>
  <si>
    <t>CALIFICACION ACTUAL</t>
  </si>
  <si>
    <t xml:space="preserve"> PROPOSITO</t>
  </si>
  <si>
    <t>CREAR UN GOBIERNO EFICIENTE Y TRANSPARENTE DE PUERAS ABIERTAS</t>
  </si>
  <si>
    <t>PROPORCION DE LA POBLACION QUE SE SIENTE SATISFECHA CON EL SERVICIO BRINDADO POR EL GOBIERNO LOCAL</t>
  </si>
  <si>
    <t>ENCUESTAS DE SATISFACCION DEL CIUDADANO</t>
  </si>
  <si>
    <t>% DE SATISFACCIÓN</t>
  </si>
  <si>
    <t>GRADO DE SATISFACCION EN ENCUESTAS REALIZADAS</t>
  </si>
  <si>
    <t>BASE DE DATOS CREADA PARA LLEVAR EL CONTEO DE ESTE PARAMETRO</t>
  </si>
  <si>
    <t>MAL PLANTEAMIENTO DE LA ENCUESTA, ASI COMO LA DIFUSION DE LA MISMA ( SE HARA DURANTE EL ULTIMO MES DEL AÑO ADMINISTRATIVO</t>
  </si>
  <si>
    <t>% DE CIUDADANOS SATISFECHOS A LA FECHA</t>
  </si>
  <si>
    <t xml:space="preserve"> RESULTADOS</t>
  </si>
  <si>
    <t>POGRAMA GOBIERNO ABIERTO Y EFICIENTE</t>
  </si>
  <si>
    <t>CUMPLIMIENTO DE LAS METAS PLANTEADAS POR EL PROGRAMA DE GOBIERNO ABIERTO Y EFICIENTE</t>
  </si>
  <si>
    <t xml:space="preserve">SMRG (SISTEMA MUNICIPAL GESTION DE RESULTADOS) </t>
  </si>
  <si>
    <t xml:space="preserve">% DE AVANCE DEL PROGRAMA </t>
  </si>
  <si>
    <t>AVANCE DE LAS METAS ESPECIFICAS DEL POAS DE PRESIDENCIA</t>
  </si>
  <si>
    <t>EL CUMPLIMIENTO ESTABLECIDO EN EL SISTEMA MUNICIPAL DE INFORMACIÓN ESTRATEGICA</t>
  </si>
  <si>
    <t xml:space="preserve">MALAS GESTIONES PARA LA RESOLUCION DE PROBLEMAS </t>
  </si>
  <si>
    <t>% ACTUAL DE CUMPLIMIENTO DEL PROGRAMA</t>
  </si>
  <si>
    <t>PROGRAMA DE ALTO IMPACTO INSTITUCIONAL</t>
  </si>
  <si>
    <t>CUMPLIMIENTO DE LAS METAS PLANTEADAS POR EL PROGRAMA DE ALTO IMPACTO INSTITUCIONAL</t>
  </si>
  <si>
    <t>AVANCE DE LAS METAS ESPECIFICAS DEL POAS DEL DEPARTAMENTO DE ASUNTOS DEL INTERIOR</t>
  </si>
  <si>
    <t>PETICIONES DE LA CIUDADANIA POCO PROBABLES DE RESOLVER A CORTO PLAZO</t>
  </si>
  <si>
    <t>PROGRAMA ESTRATEGICO DE DIFUSIÓN INSTITUCIONAL</t>
  </si>
  <si>
    <t>CUMPLIMIENTO DE LAS METAS PLANTEADAS POR EL PROGRAMA GOBIERNO DE PUERTAS ABIERTAS</t>
  </si>
  <si>
    <t>AVANCE DE LAS METAS ESPECIFICAS DEL POAS DEL DEPARTAMENTO DE COMUNICACION</t>
  </si>
  <si>
    <t>EFICIENCIA DEL PROGRAMA ESTRATEGICO DE DIFUCION INSTITUCIONAL</t>
  </si>
  <si>
    <t>NOTAS POCO RELEVANTES O CON CONTENIDOS MAL DESARROLLADOS</t>
  </si>
  <si>
    <t>PROGRAMA TRANSPARENCIA Y RENDICION DE CUENTAS</t>
  </si>
  <si>
    <t>CUMPLIMIENTO DE LAS METAS PLANTEADAS POR EL PROGRAMA DE TRANSPARENCIA Y RENDICION DE CUENTAS</t>
  </si>
  <si>
    <t>EFICIENCIA DEL PROGRAMA DE TRANSPARENCIA Y RENDICION DE CUENTAS</t>
  </si>
  <si>
    <t>% DE AVANCE DEL PROGRAMA DE TRANSPARENCIA Y RENDICION DE CUENTAS</t>
  </si>
  <si>
    <t>AVANCE DE LAS METAS ESPECIFICAS DEL POAS DE LA UNIDAD DE TRANSPARENCIA</t>
  </si>
  <si>
    <t>ÁREAS INVOLUCRADAS CON POCA PRESENCIA EN EL DESARROLLO INSTITUCIONAL</t>
  </si>
  <si>
    <t xml:space="preserve"> ACCIONES</t>
  </si>
  <si>
    <t>CIUDADANOS ATENDIDOS POR LA PRESIDENTA EN EL PRESENTE PERIODO</t>
  </si>
  <si>
    <t xml:space="preserve">TOTAL DE CIUDADANOS ATENDIDOS </t>
  </si>
  <si>
    <t>META DE CIUDADANOS ATENDIDOS POR LA PRESIDENTA</t>
  </si>
  <si>
    <t xml:space="preserve">CIUDADANOS ATENDIDOS </t>
  </si>
  <si>
    <t>META ESTABLECIDA POR EL SMRG</t>
  </si>
  <si>
    <t>TIEMPOS CORTOS PARA ATENDER A LA CIUDADANIA POR MOTIVOS DE AGENDA DE TRABAJO.</t>
  </si>
  <si>
    <t>CIUDADANOS ATENDIDOS AL CORTE</t>
  </si>
  <si>
    <t>CIUDADANOS ATENDIDIOS POR EL DEPARTAMENTO DE ASUNTOS DEL INTERIOR</t>
  </si>
  <si>
    <t>TOTAL DE CIUDADANOS ATENDIDOS POR EL DEPARTAMENTO DE ASUNTOS DEL INTERIOR</t>
  </si>
  <si>
    <t>META DE CIUDADANOS ATENDIDIOS POR EL DEPARTAMENTO DE ASUNTOS DEL INTERIOR</t>
  </si>
  <si>
    <t xml:space="preserve">CUMPLIMIENTO A LA META DE CIUDADANOS ATENTIDOS </t>
  </si>
  <si>
    <t xml:space="preserve">BAJA AFLUENCIA DE CIUDADANOS CON PETICIONES EN PRESIDENCIA </t>
  </si>
  <si>
    <t>NÚMERO DE PERSONAS ATENDIDAS ACTUALMENTE</t>
  </si>
  <si>
    <t>COBERTURAS DE EVENTOS</t>
  </si>
  <si>
    <t>NOTAS DIFUNDIDAS EN LOS DIFERENTES MEDIOS DE COMUNICACIÓN</t>
  </si>
  <si>
    <t>META DE NOTAS A DIFUNDIR EN EL PERIODO ACTUAL</t>
  </si>
  <si>
    <t xml:space="preserve">NOTAS DE INFORMACIÓN MUNICIPAL DIFUNDIDAS EN LOS DISTITNOS MEDIOS </t>
  </si>
  <si>
    <t>CUMPLIMIENTO A LA META ANUAL</t>
  </si>
  <si>
    <t xml:space="preserve">FALTA DE SEGUIMIENO A EVENTOS MUNICIPALES DE TRASCENDENCIA </t>
  </si>
  <si>
    <t>NOTAS DIFUNDIDAS AL CORTE</t>
  </si>
  <si>
    <t xml:space="preserve">SOLICITUDES DE INFORMACIÓN </t>
  </si>
  <si>
    <t>NÚMERO DE SOLICITUDES  RECIBIDAS / SOLICITUDES CONTESTADAS</t>
  </si>
  <si>
    <t>TOTAL ESPERADO DE SOLICITUDES DE TRANSPARENCIA</t>
  </si>
  <si>
    <t xml:space="preserve">SOLICITUDES ATENDIDAS </t>
  </si>
  <si>
    <t>CONTESTAR EL 100% DE LAS SOLICITUDES RECIBIDAS A LO LARGO DEL AÑO</t>
  </si>
  <si>
    <t xml:space="preserve">SOLICITUDES SIN FUNDAMENTO, CONFORME A LO QUE MARCAN LAS LEYES </t>
  </si>
  <si>
    <t>SOLICITUDES DE INFORMACION ATENDIDAS AL CORTE</t>
  </si>
  <si>
    <t>SINDICATURA</t>
  </si>
  <si>
    <t>CONSOLIDANDO ESTRATEGIAS DE PAZ Y JUSTICIA</t>
  </si>
  <si>
    <t>JALISCO CERCANO Y EN PAZ</t>
  </si>
  <si>
    <t>EJE 1 JUSTICIA, SEGURIDAD Y PAZ SOCIAL EJE T.2 . GOBIERNO TRANSPARENTE Y EFICIENTE CON PARTICIPACIÓN COMUNITARIA</t>
  </si>
  <si>
    <t xml:space="preserve">CONSOLIDAR UN ESTADO DE PAZ Y JUSTICIA </t>
  </si>
  <si>
    <t xml:space="preserve">CALIDAD DE VIDA </t>
  </si>
  <si>
    <t>INDICE DE CIUDADES PROSPERAS</t>
  </si>
  <si>
    <t>CREAR UN ENTORNO SEGURO, JUSTO Y EQUITATIVO PARA TODOS LOS CIUDADANOS, DONDE SE RESPETEN LOS DERECHOS HUMANOS, SE PROMUEVA LA CONVIVENCIA PACÍFICA Y SE RESUELVAN LOS CONFLICTOS DE MANERA DIALOGADA Y EFECTIVA.</t>
  </si>
  <si>
    <t>IIEG</t>
  </si>
  <si>
    <t xml:space="preserve">ANUAL </t>
  </si>
  <si>
    <t>CARPETAS DE INVESTIGACION ABIERTAS DURANTE EL ULTIMO AÑO</t>
  </si>
  <si>
    <t>DIAGNOSTICO DE ZAPOTLANEJO IIEG</t>
  </si>
  <si>
    <t>DELITOS NO DENUNCIADOS ANTE EL MP</t>
  </si>
  <si>
    <t>CONSOLIDAR UN PROGRAMA OPERATIVO QUE IMPARTA JUSTICIA CON ACCIONES CLARAS EN PRO DE LA SEGURIDAD PUBLICA</t>
  </si>
  <si>
    <t>EFICIENCIA DE LOS PROGRAMAS OPERATIVOS DE SINDICATURA</t>
  </si>
  <si>
    <t>AVANCE DE LAS METAS ESPECIFICAS DEL POAS DE SINDICATURA</t>
  </si>
  <si>
    <t>EL CUMPLIMIENTO ESTABLECIDO EN EL SMRG</t>
  </si>
  <si>
    <t xml:space="preserve">FALTA DE SEGUIMIENTO DE ACCIONES OPERATIVAS QUE FOMENTEN LA SEGURIDAD </t>
  </si>
  <si>
    <t>PROGRAMA DE CONCILIACION Y ASESORIA JURIDICA</t>
  </si>
  <si>
    <t>CUMPLIMIENTO DE LAS METAS PLANTEADAS POR EL PROGRAMA DE CONCILIACION Y ASESORIA JURIDICA</t>
  </si>
  <si>
    <t>% DE AVANCE DEL PROGRAMA DE CONCILIACION Y ASESORIAS JURIDICAS</t>
  </si>
  <si>
    <t>AVANCE DE LAS METAS ESPECIFICAS DEL POAS DE DIRECCION JURIDICA Y JUZGADO MUNICIPAL</t>
  </si>
  <si>
    <t>EFICIENCIA DEL PROGRAMA DE  CONCILIACION Y ASESORIA JURIDICA</t>
  </si>
  <si>
    <t>PROGRAMA INTEGRAL DE PREVENCION SOCIAL</t>
  </si>
  <si>
    <t>CUMPLIMIENTO DE LAS METAS PLANTEADAS POR EL PROGRAMA DE PREVENCION SOCIAL</t>
  </si>
  <si>
    <t>% DE AVANCE DEL PROGRAMA INTEGRAL DE PREVENCION SOCIAL</t>
  </si>
  <si>
    <t>AVANCE DE LAS METAS ESPECIFICAS DEL POAS DEL DEPARTAMENTO DE PREVENCION SOCIAL</t>
  </si>
  <si>
    <t>EFICIENCIA DEL PROGRAMA OPERATIVO</t>
  </si>
  <si>
    <t>FALTA DE ACCIONES ENFOCADAS A LA PREVENCION SOCIAL</t>
  </si>
  <si>
    <t>SECRETARIA GENERAL</t>
  </si>
  <si>
    <t>GOBIERNO DE LA GENTE</t>
  </si>
  <si>
    <t>JALISCO AVANZA Y JALISCO PARA TODAS Y TODOS</t>
  </si>
  <si>
    <t>CONSOLIDAR UN GOBIERNO EFICIENTE, QUE DE FE Y LEGALIDAD A LOS PROCESOS INTERNOS DE LA ADMINISTRACION PUBLICA</t>
  </si>
  <si>
    <t>EFICIENCIA DEL PROGRAMA SEGUIMIENTO DE ASUNTOS DE TRASCENDENCIA DE SECRETARIA GENERAL</t>
  </si>
  <si>
    <t>AVANCE DE LAS METAS ESPECIFICAS DEL POAS DE SECRETARIA GENERAL</t>
  </si>
  <si>
    <t>FALTA DE SEGUIMIENTO DE ACCIONES QUE PROMUEVAN LA LEGALIDAD DE LOS ACTOS QUE REALICE EL GOBIERNO MUNICIPAL</t>
  </si>
  <si>
    <t>REGISTRAR, VALIDAR Y DAR CERTEZA JURÍDICA DE LOS ACTOS Y HECHOS RELATIVOS AL ESTADO CIVIL DE LAS PERSONAS DENTRO DE SU JURISDICCIÓN.</t>
  </si>
  <si>
    <t>EFICIENCIA DEL PROGRAMA DE ACCESO EFICIENTE A DOCUMENTACIÓN CIVIL</t>
  </si>
  <si>
    <t>AVANCE DE LAS METAS ESPECIFICAS DEL POAS DE REGISTRO CIVIL</t>
  </si>
  <si>
    <t xml:space="preserve">TRAMITES ENGORROSOS </t>
  </si>
  <si>
    <t>ADMINISTRAR Y MANTENER LOS CEMENTERIOS PÚBLICOS, ASEGURANDO QUE SE CUMPLAN LAS NORMAS Y REGULACIONES APLICABLES EN MATERIA DE INHUMACIONES, EXHUMACIONES Y MANEJO DE RESTOS HUMANOS.</t>
  </si>
  <si>
    <t>EFICIENCIA DEL PLAN INTEGRAL DE CEMENTERIOS</t>
  </si>
  <si>
    <t>AVANCE DE LAS METAS ESPECIFICAS DEL POAS DE CEMENTERIOS</t>
  </si>
  <si>
    <t>FALTA DE SEGUIMIENTO DE ACCIONES OPERATIVAS</t>
  </si>
  <si>
    <t>CONSTANCIAS ESPECIFICAS PARA DAR CERTEZA A LA POBLACION EN GENERAL</t>
  </si>
  <si>
    <t>CONSTANCIAS EXPEDIDAS POR PARTE DE SECRETARIA GENERAL</t>
  </si>
  <si>
    <t>META ESTABLECIDA PARA ESTE RUBRO</t>
  </si>
  <si>
    <t>TOTAL DE CONSTANCIAS EXPEDIDAS POR SECRETARIA GENERAL</t>
  </si>
  <si>
    <t>SEGUIMIENTO DE ACCIONES QUE PROMUEVAN LA CERTEZA JURIDICA DE LA POBLACION</t>
  </si>
  <si>
    <t>TOTAL DE TRAMITES Y SERVICIOS REALIZADOS POR PARTE DE REGISTRO CIVIL</t>
  </si>
  <si>
    <t>META DE ACCIONES ESTABLECIDAS</t>
  </si>
  <si>
    <t>ACCIONES ADMINISTRATIVAS DE REGISTRO CIVIL</t>
  </si>
  <si>
    <t xml:space="preserve"> ADMINISTRACION DE LOS CEMENTERIOS MUNICIPALES PARA SU CORRECTA FUNSION</t>
  </si>
  <si>
    <t xml:space="preserve">ACCIONES DE MANTENIMIENTO A CEMENTERIOS </t>
  </si>
  <si>
    <t xml:space="preserve">META ESTABLECIDA </t>
  </si>
  <si>
    <t>ACCIONES PREVENTIVAS DE MANTENIMIENTO A CEMENTERIOS</t>
  </si>
  <si>
    <t>FALTA DE PRESUPUESTO ASIGNADO A ESTE RUBRO</t>
  </si>
  <si>
    <t>administrar y mantener los cementerios públicos, asegurando que se cumplan las normas y regulaciones aplicables en materia de inhumaciones, exhumaciones y manejo de restos humanos.</t>
  </si>
  <si>
    <t>Matriz de Indicadores de Resultados (MIR)</t>
  </si>
  <si>
    <t>codigó:</t>
  </si>
  <si>
    <t>F-GAB-</t>
  </si>
  <si>
    <t>versión:</t>
  </si>
  <si>
    <t>COORDINACION</t>
  </si>
  <si>
    <t xml:space="preserve">TESORERIA </t>
  </si>
  <si>
    <t xml:space="preserve">TECHO FINANCIERO PROPUESTO (PUEDE VARIAR)	</t>
  </si>
  <si>
    <t>GASTO ACTUAL</t>
  </si>
  <si>
    <t xml:space="preserve">PROGRAMA FINANZAS SANAS </t>
  </si>
  <si>
    <t>CODIGO INTERNO</t>
  </si>
  <si>
    <t>030113</t>
  </si>
  <si>
    <t>Eje general 1. Justicia y Estado de derecho,Eje transversal 2. Combate a la corrupción y mejora de la gestión pública</t>
  </si>
  <si>
    <t>EJE 5 GOBIERNO EFECTIVO E INTEGRIDAD PÚBLICA</t>
  </si>
  <si>
    <t>APLICABLE A TODO EL AYUNTAMIENTO</t>
  </si>
  <si>
    <t>HABITANTES DE ZAPOTLANEJO, GOBIERNO ESTATAL, GOBIERNO FEDERAL, OPDS</t>
  </si>
  <si>
    <t xml:space="preserve"> LOGRAR EL SANEAMIENTO DE LAS FINANZAS PÚBLICAS MUNICIPALES</t>
  </si>
  <si>
    <t>CAPACIDAD INSTITUCIONAL Y FINANZAS MUNICIPALES</t>
  </si>
  <si>
    <t xml:space="preserve">CAPACIDAD INSTITUCIONAL Y FINANZAS MUNICIPALES EN 2018
</t>
  </si>
  <si>
    <t>VARIABLE ENTRE:Recaudación de ingresos propios/Deuda subnacional*
Eficiencia del gasto local</t>
  </si>
  <si>
    <t xml:space="preserve">PRESUPUESTOS CAMBIANTES DEBIDO AL GOBIERNO FEDERAL Y LA PANDEMIA </t>
  </si>
  <si>
    <t xml:space="preserve">CAPACIDAD INSTITUCIONAL Y FINANZAS MUNICIPALES EN 2021
</t>
  </si>
  <si>
    <t>ORGANIZAR DE MANERA EFICIENTE LOS RECURSOS MATERIALES Y FINANCIEROS APLICÁNDOLOS DIRECTAMENTE A LA SATISFACCIÓN DE LAS NECESIDADES MUNICIPALES, MANTENIENDO LA ESTABILIDAD ADMINISTRATIVA  Y DANDO CUMPLIMIENTO A LAS DISPOSICIONES LEGALES APLICABLES, EN COORDINACIÓN CON SUS DIRECCIONES Y ÁREAS ADMINISTRATIVAS.</t>
  </si>
  <si>
    <t>EVALUACIÓN CEVAJ</t>
  </si>
  <si>
    <t>SEVAC</t>
  </si>
  <si>
    <t xml:space="preserve">EVALUACIÓN PRIMER PERIODO </t>
  </si>
  <si>
    <t xml:space="preserve">CUMPLIR LOS INDICADORES DE GESTION QUE MARCA SEVAC EN LOS DISTINTOS PERIODOS </t>
  </si>
  <si>
    <t>PLATAFORMA SEVAC</t>
  </si>
  <si>
    <t xml:space="preserve">FALTA DE CUMPLIMIENTO A INDICADORES DE GESTION </t>
  </si>
  <si>
    <t xml:space="preserve">ULTIMA EVALUACIÓN </t>
  </si>
  <si>
    <t>ADMINISTRAR RIESGOS Y FLUJO DE CAJA DENTRO DE LAS POLÍTICAS PARA SALVAGUARDAR EL MARGEN DEL AYUNTAMIENTO Y REDUCIR LA VOLATILIDAD INESPERADA EN SU FLUJO DE EFECTIVO.</t>
  </si>
  <si>
    <t xml:space="preserve">RECAUDACION DE INGRESOS PROPIOS </t>
  </si>
  <si>
    <t>% DE RECAUDACION COMPARADO CON ZMG  EN 2018</t>
  </si>
  <si>
    <t>% DE RECAUDACION COMPARADO CON ZMG  EN 2020</t>
  </si>
  <si>
    <t>DISEÑAR Y ESTABLECER PLANES, POLÍTICAS, NORMAS Y PROGRAMAS, EN MATERIA DE TECNOLOGÍAS DE LA INFORMACIÓN Y COMUNICACIONES RESPECTO AL DISEÑO, DESARROLLO, DISTRIBUCIÓN, IMPLANTACIÓN, SEGURIDAD, OPERACIÓN Y MANTENIMIENTO DE SISTEMAS INFORMÁTICOS Y DE TELECOMUNICACIONES</t>
  </si>
  <si>
    <t>EFICIENCIA DE SU PLAN DE MANTENIMIENTO PREVENTIVO</t>
  </si>
  <si>
    <t>BITACORA INTERNA</t>
  </si>
  <si>
    <t xml:space="preserve">MANTENIMIENTOS PREVENTIVOS ESTIPULADOS EN EL POA </t>
  </si>
  <si>
    <t>EFICIENCIA DE SU PROGRAMA PREVENTIVO</t>
  </si>
  <si>
    <t xml:space="preserve">FALTA DE PRESUPUESTO Y/ O PERSONAL  PARA REALIZAR MANTENIMIENTOS PREVENTIVOS </t>
  </si>
  <si>
    <t>MANTENIMIENTOS PREVENTIVOS REALIZADOS EN EL AÑO</t>
  </si>
  <si>
    <t xml:space="preserve">RECAUDACION DE INGRESOS DERIVADOS DE SERVICIOS Y SANCIONES QUE BRINDA EL AYUNTAMIENTO CONFORME A LOS REGLAMENTOS ADMINISTRATIVOS. </t>
  </si>
  <si>
    <t>RECAUDACION DE SERVICIOS BASICOS ASI COMO INFRACCIONES RECURRENTES.</t>
  </si>
  <si>
    <t>SIME</t>
  </si>
  <si>
    <t>RECAUDACION 2019</t>
  </si>
  <si>
    <t>EFICIENCIA DE SU PROGRAMA DE RECAUDACION 2020</t>
  </si>
  <si>
    <t>SISTEMA INTERNO</t>
  </si>
  <si>
    <t>AUMENTO DE MOROSOS Y/O CARTERA VENCIDA POR LA REALIDAD NACIONAL</t>
  </si>
  <si>
    <t>RECAUDACION 2020</t>
  </si>
  <si>
    <t>PROGRAMA PARA LA IMPLEMENTACION ESTRATEGICA DE ACCIONES PREVENTIVAS Y CORRECTIVAS REALIZADAS A LOS SISTEMAS NFORMATICOS DEL GOBIERNO MUNICIPAL.</t>
  </si>
  <si>
    <t>SEGUIMIENTO A LAS ESTRATEGIAS IMPLEMENTADAS PARA EL CORRECTO FUNCIONAMIENTO DE LOS EQUIPOS INFORMATICOS DEL AYUNTAMIENTO MUNICIPAL.</t>
  </si>
  <si>
    <t>ACCIONES DE MANTENIMIENTO ESTIPULADAS EN SU POA</t>
  </si>
  <si>
    <t>ACCIONES REALIZADAS A LO LARGO DEL 2020</t>
  </si>
  <si>
    <t>FALTA DE UN PLAN DE MANTENIMIENTO PREVENTIVO</t>
  </si>
  <si>
    <t>ACCIONES DE MANTENIMIENTO REALIZADAS EN EL 2020</t>
  </si>
  <si>
    <t>Matriz de Marco Lógico</t>
  </si>
  <si>
    <t>TESORERIA</t>
  </si>
  <si>
    <t>CATASTRO A LA VANGUARDIA</t>
  </si>
  <si>
    <t>30201</t>
  </si>
  <si>
    <t xml:space="preserve">EJE TRANSVERSAL 2. COMBATE A LA CORRUPCIÓN Y MEJORA DE LA GESTION PÚBLICA </t>
  </si>
  <si>
    <t>TESORERIA,COORDINACION DE GESTION DE LA CIUDAD</t>
  </si>
  <si>
    <t>HABITANTES DE ZAPOTLANEJO</t>
  </si>
  <si>
    <t>REGISTRO INTEGRO DE PROPIEDADES INMOBILIARIAS DE ZAPOTLANEJO</t>
  </si>
  <si>
    <t xml:space="preserve">DEPURACIÓN Y ACTUALIZACIÓN CONTÍNUA DEL SISTEMA DE GESTÍON CATASTRAL CON RESPECTO A LA ALIMENTACIÓN DE LA BASE DE DATOS </t>
  </si>
  <si>
    <t xml:space="preserve">SISTEMA </t>
  </si>
  <si>
    <t>% DE AVANCE ESPERADO</t>
  </si>
  <si>
    <t>CUENTAS CATASTRALES ACTUADALIZADAS SEGÚN LA BASE DE DATOS</t>
  </si>
  <si>
    <t xml:space="preserve">% DE ACTUALIZACION </t>
  </si>
  <si>
    <t>FALTA DE PERSONAL QUE REALICE ESTE TIPO DE ACCIONES</t>
  </si>
  <si>
    <t>% DE AVANCE REAL</t>
  </si>
  <si>
    <t>EFICIENTAR LOS SERVICIOS CATASTRALES A TRAVÉS DE LA OPTIMIZACION DE INFRAESTRUCTURA</t>
  </si>
  <si>
    <t>TIEMPO DE RESPUESTA PROMEDIO ANTE CUALQUIER TRAMITE CATASTRAL</t>
  </si>
  <si>
    <t>SEGUIMIENTO AL REPORTE DIARIO</t>
  </si>
  <si>
    <t xml:space="preserve">TIEMPO DE RESPUESTA PROMEDIO </t>
  </si>
  <si>
    <t>TIEMPO QUE EL AREA DE CATASTRO TARDA EN REALIZAR UN TRAMITE</t>
  </si>
  <si>
    <t>BITACORAS INTERNAS DE SERVICIO</t>
  </si>
  <si>
    <t>FALTA DE CONTROL ADMINISTRATIVO</t>
  </si>
  <si>
    <t>TIEMPO DE RESPUESTA ACTUAL</t>
  </si>
  <si>
    <t xml:space="preserve">VINCULAR Y ACTUALIZAR VALORES CATASTRALES DE LA TOTALIDAD DE CUENTAS REGISTRADAS EN EL PADRÓN </t>
  </si>
  <si>
    <t>% DE VALORES CATASTRALES ACTUALIZADOS</t>
  </si>
  <si>
    <t>SISTEMA DE GESTION CATASTRAL</t>
  </si>
  <si>
    <t>% ESPERADO</t>
  </si>
  <si>
    <t>% DE VALORES CATASTRALES ACTUALIZADOS AL 2020</t>
  </si>
  <si>
    <t>AVANCE EN EL SISTEMA DE GESTION CATASTRAL</t>
  </si>
  <si>
    <t>FALTA DE SISTEMA DE GESTION CATASTRAL ACORDE A LAS NECESIDADES DEL ÁREA</t>
  </si>
  <si>
    <t>% ACTUAL</t>
  </si>
  <si>
    <t xml:space="preserve">ORDENAR Y DEPURAR EL ESPACIO ADMINISTRATIVO </t>
  </si>
  <si>
    <t>% DE AVANCE DE ARCHIVOS DIGITALIZADOS</t>
  </si>
  <si>
    <t>INVENTARIO DE ARCHIVOS</t>
  </si>
  <si>
    <t>% DE ARCHIVOS DIGITALIZADOS</t>
  </si>
  <si>
    <t>ARCHIVO HISTORICO</t>
  </si>
  <si>
    <t>FALTA DE EQUIPO NECESARIO PARA LA DIGITALIZACION DEL PADRÓN.</t>
  </si>
  <si>
    <t>ELABORAR MANUAL DE PROCEDIMIENTOS ADMINISTRATIVOS</t>
  </si>
  <si>
    <t>APROBACION DEL MANUAL DE PROCEDIMIENTOS</t>
  </si>
  <si>
    <t>REPORTE DIARIO</t>
  </si>
  <si>
    <t xml:space="preserve">% AVANCE DEL MANUAL </t>
  </si>
  <si>
    <t>MANUAL DE PROCEDIMIENTOS APROBADO</t>
  </si>
  <si>
    <t>PROCEDIMIENTOS INCLUIDOS EN EL SGC</t>
  </si>
  <si>
    <t xml:space="preserve">PROCEDIMIENTOS ESTANDARIZADOS DE FORMA DIFERENTE CONFORME AL SGC </t>
  </si>
  <si>
    <t>% DE ACTUALIZACION DE REGLAMENTO</t>
  </si>
  <si>
    <t>ACTUALIZACION DE REGLAMENTO DE CATASTRO MUNICIPAL</t>
  </si>
  <si>
    <t>APROBACION DEL REGLAMENTO DE CATASTRO MUNICIPAL</t>
  </si>
  <si>
    <t xml:space="preserve">% CUMPLIMIENTO </t>
  </si>
  <si>
    <t>REGLAMENTO APROBADO</t>
  </si>
  <si>
    <t>FALTA DE SEGUIMIENTO AL DESARROLLO DEL REGLAMENTO</t>
  </si>
  <si>
    <t xml:space="preserve">NUEVO SISTEMA DE GESTION CATASTRAL </t>
  </si>
  <si>
    <t>ADQUISICION DE UN SISTEMA DE GESTION CATASTRAL Y ESPECIFICACIONES PARA SU OPTIMO FUNCIONAMIENTO.</t>
  </si>
  <si>
    <t>SISTEMA DE GESTION CATASTRAL ADQUIRIDO</t>
  </si>
  <si>
    <t>OFICINAS CATASTRO</t>
  </si>
  <si>
    <t>NO CONTAR CON EL PRESUPUESTO ASIGNADO PARA ESTA PARTIDA</t>
  </si>
  <si>
    <t>CAPACITACION DEL PERSONAL</t>
  </si>
  <si>
    <t>CAPACITACION EN MATERIA DE ATENCION AL CIUDADANO Y TEMAS ADMINISTRATIVOS ESPECIFICOS DEL ÁREA</t>
  </si>
  <si>
    <t>SISTEMA DE CAPACITACIONES MUNICIPALES</t>
  </si>
  <si>
    <t>CAPACITACIONES ESPERADAS</t>
  </si>
  <si>
    <t>CONSTANCIAS ENTREGADAS</t>
  </si>
  <si>
    <t>FALTA DE APOYO PARA CAPACITAR AL PERSONAL</t>
  </si>
  <si>
    <t>CAPACITACIONES REALIZADAS</t>
  </si>
  <si>
    <t>GESTIÓN DE LA CIUDAD</t>
  </si>
  <si>
    <t xml:space="preserve">MACRO PROGRAMA PARA LA GESTION DE LA CIUDAD </t>
  </si>
  <si>
    <t>040110</t>
  </si>
  <si>
    <t>9. INDUSTRIA INNOVACION E INFRAESTRUCTURA 11.CIUDADES Y COMUNIDADES SOSTENIBLES 15. VIDA Y ECOSISTEMAS TERRESTRES</t>
  </si>
  <si>
    <t>EJE 3: TERRITORIO Y DESARROLLO SOSTENIBLE</t>
  </si>
  <si>
    <t>6.6 DESARROLLO SOSTENIBLE DEL TERRITORIO</t>
  </si>
  <si>
    <t>SERVICIOS PUBLICOS DE CALIDAD</t>
  </si>
  <si>
    <t>CONSTRUCCION DE LA COMUNIDAD, DESARROLLO ECONOMICO</t>
  </si>
  <si>
    <t>Lograr comunidades  inclusivas, seguras, resilientes y sostenibles</t>
  </si>
  <si>
    <t>Relación entre la tasa de consumo de tierras y la tasa de crecimiento de la población</t>
  </si>
  <si>
    <t>Agenda 2030</t>
  </si>
  <si>
    <t>Relación  entre la tasa de consumo de tierras y la tasa de crecimiento de la población</t>
  </si>
  <si>
    <t xml:space="preserve">tasa de consumo de la tierra con respecto a la tasa de crecimiento de la población </t>
  </si>
  <si>
    <t xml:space="preserve">Falta de seguimiento proporcionado a la documentacion donde se justifique cualuiera de las dos variables </t>
  </si>
  <si>
    <t>Promover el crecimiento ordenado de las zona urbana y comunidades rurales</t>
  </si>
  <si>
    <t xml:space="preserve"> Herramientas de planificacion en materia de gestión de territorioimplementan planes de desarrollo urbano y regional integrando las proyecciones de población y las necesidades de recursos, por tamaño de la ciudad</t>
  </si>
  <si>
    <t xml:space="preserve">Bitacora Interna de la coordinación </t>
  </si>
  <si>
    <t xml:space="preserve">Herramientas de planeacion estipuladas </t>
  </si>
  <si>
    <t>Indicador de Gestion que toma en cuenta los planes de desarrollo urbano y regionales integrando las proyecciones de población y las necesidades de recursos, por tamaño del municipio</t>
  </si>
  <si>
    <t>no se toman en cuenta las herramientas de planeacion vigentes para el municipio.</t>
  </si>
  <si>
    <t xml:space="preserve">Herramientas de planeacion puestas en marcha en </t>
  </si>
  <si>
    <t>R.1 Proveer a la administracion Pública de un conocimiento general de las características del territorio, valorando los recursos naturales con el fin de orientar sus posibles usos, estableciendo áreas de oferta y prioridades, de modo que el uso del territorio sea el más adecuado a sus características.</t>
  </si>
  <si>
    <t>Contar con un Plan de Ordenamiento Territorial Actualizado</t>
  </si>
  <si>
    <t xml:space="preserve">Instrumento de Planeacion </t>
  </si>
  <si>
    <t xml:space="preserve"> Plan de Ordenamiento Territorial actualizado</t>
  </si>
  <si>
    <t>CONTAR CON INSTRUMENTOS DE PLANEACION ACTUALIZADOS</t>
  </si>
  <si>
    <t>ARCHIVOS DE GESTION DE LA CIUDAD</t>
  </si>
  <si>
    <t>PROBLEMAS POLITICOS , FALTA DE PERFILES ADECUADOS A DETERMINADOS PUESTOS</t>
  </si>
  <si>
    <t>Se cuenta con el POT actualizado</t>
  </si>
  <si>
    <t xml:space="preserve">R.2 Preservar y salvaguardar el medio ambiente, con apego a las Leyes y Reglamentos que rigen en nuestro municipio. </t>
  </si>
  <si>
    <t>Contar con el POEL actualizado</t>
  </si>
  <si>
    <t>Plan de Ordenamiento Ecologico Local actualizado</t>
  </si>
  <si>
    <t>Se cuenta con el POEL actualizado</t>
  </si>
  <si>
    <t>R.3 mejoramiento sostenido de la calidad de vida de la población rural de bajos ingresos procurando asegurar, al mismo tiempo, una efectiva y eficiente contribución de la economía rural</t>
  </si>
  <si>
    <t>Programa Operativo de Desarrollo Rural</t>
  </si>
  <si>
    <t>Programa Oerativo anual de Desarrollo Rural</t>
  </si>
  <si>
    <t>CONTAR CON UN MODELO OPERATIVO EFICIENTE QUE FOMENTE EL DESARROLLO RURAL DEL MUNICIPIO</t>
  </si>
  <si>
    <t>FALTA DE SEGUIMIENTO A LAS ACCIONES O PROGRAMAS  ENFOCADAS AL CAMPO</t>
  </si>
  <si>
    <t>Eficiencia del Programa anual de desarrollo rural</t>
  </si>
  <si>
    <t xml:space="preserve">R.4 Mantener En buen estado los caminos rurales, calles de las comunidades y de la cabecera municipal para hacer más fácil y accesible las vías de transporte de la ciudadanía. </t>
  </si>
  <si>
    <t>EFICIENCIA DEL PROGRAMA ANUAL DE MANTENIMIENTO A CAMINOS RURALES</t>
  </si>
  <si>
    <t xml:space="preserve">EFICIENCIA ESPERADA DEL PROGRAMA DE MANTENIMIETNO DE CAMINOS RURALES </t>
  </si>
  <si>
    <t>% DE EFICIENCIA ALCANZADO</t>
  </si>
  <si>
    <t>R.5 Atender las demandas en materia de infraestructura y equipamiento urbano a los ciudadanos así como dotarles de los servicios públicos que se requieran.</t>
  </si>
  <si>
    <t>OBRA PUBLICA REALIZADA CONFORME AL PAQUETE DE OBRA PUBLUCA DEL AÑO EN CURSO</t>
  </si>
  <si>
    <t>PORCENTAJE DE EFICIENCIA ESPERADO DE LA PROPUESTA DE IBRA PUBLICA</t>
  </si>
  <si>
    <t>CONTAR CON UN MODELO OPERATIVO EFICIENTE QUE FOMENTE EL DESARROLLO DEOBRAS DE CALIDAD</t>
  </si>
  <si>
    <t>FALTA DE SEGUIMIENTO A LAS ACCIONES O PROGRAMAS  ENFOCADAS AL DESARROLLO DE INFRAESTRUCTURA</t>
  </si>
  <si>
    <t>Servicios brindados por el departamento de Gestion de la Ciudad</t>
  </si>
  <si>
    <t xml:space="preserve">licencias emitidas </t>
  </si>
  <si>
    <t>LICENCIAS CONTEMPLADAS</t>
  </si>
  <si>
    <t xml:space="preserve">CONTAR CON UN MODELO OPERATIVO EFICIENTE QUE FOMENTE CORRECTA GESTION DE LA CIUDAD
</t>
  </si>
  <si>
    <t>FALTA DE SEGUIMIENTO A LOS PROGRAMAS OPERATIVOS</t>
  </si>
  <si>
    <t>LICENCIAS REALIZADAS</t>
  </si>
  <si>
    <t>Acciones enfocadas al desarrollo Rural</t>
  </si>
  <si>
    <t>Acciones enfocadas al campo</t>
  </si>
  <si>
    <t xml:space="preserve">ACCIONES REALIZADAS </t>
  </si>
  <si>
    <t>EFLICIENCIA DEL PROGRAMA</t>
  </si>
  <si>
    <t>Acciones enfocadas a promover la ecologia en el municipio</t>
  </si>
  <si>
    <t>Acciones reportadas por ecologia</t>
  </si>
  <si>
    <t>ACCIONES CONTEMPLADAS</t>
  </si>
  <si>
    <t>Obras realizadas a lo largo del año</t>
  </si>
  <si>
    <t xml:space="preserve">Obras realizadas / Expedientes Completos de Obras  </t>
  </si>
  <si>
    <t xml:space="preserve">OBRAS PROPUESTAS </t>
  </si>
  <si>
    <t>OBRAS REALIZADAS</t>
  </si>
  <si>
    <t>MATRIZ DE INDICADORES DE RESULTADO</t>
  </si>
  <si>
    <t>COORDINACIÓN DE SERVICIOS GENERALES</t>
  </si>
  <si>
    <t xml:space="preserve"> SERVICIOS MUNICIPALES DE CALIDAD </t>
  </si>
  <si>
    <t>50101</t>
  </si>
  <si>
    <t>6. AGUA LIMPIA Y SANEAMIENTO 9. INDUSTRIA,INNOVACION E INFRAESTRUCTURA 11. CIUDADES Y COMUNIDADES SOSTENIBLES 15. VIDA DE ECOSISTEMAS TERRESTRES</t>
  </si>
  <si>
    <t xml:space="preserve">2. BIENESTAR </t>
  </si>
  <si>
    <t xml:space="preserve">6.6 DESARROLLO SOSTENIBLE DEL TERRITORIO </t>
  </si>
  <si>
    <t>SERVICIOS PÚBLICOS DE CALIDAD</t>
  </si>
  <si>
    <t xml:space="preserve">RECURSOS HUMANOS, GESTION DE LA CIUDAD, SINDICATURA, SECRETARIA GENERAL,CONSTRUCCION DE LA COMUNIDAD,DESARROLLO ECONOMICO </t>
  </si>
  <si>
    <t xml:space="preserve">MEJORAR LA CALIDAD DE VIDA DE LOS HABITANTES DE ZAPOTLANEJO 
</t>
  </si>
  <si>
    <t>CALIDAD DE VIDA EN ZAPOTLANEJO 2018</t>
  </si>
  <si>
    <t xml:space="preserve">Macro indicador que toma en cuenta educacion, servicios publicos,seguridad </t>
  </si>
  <si>
    <t>Indice de ciudades Prosperas</t>
  </si>
  <si>
    <t>Falta de estrategias de impacto que fomenten el cumplimiento de los indicadores</t>
  </si>
  <si>
    <t>CALIDAD DE VIDA ZAPOTLANEJO 2021</t>
  </si>
  <si>
    <t>SATISFACER LAS NECESIDADES BÁSICAS DE LA COMUNIDAD, DE MANERA UNIFORME Y CONTINUA, EN MATERIA DE ASEO PÚBLICO Y RECOLECCIÓN DE RESIDUOS SÓLIDOS, ALUMBRADO PÚBLICO, ASÍ COMO EL MANTENIMIENTO DE PARQUES Y JARDINES MUNICIPALES.</t>
  </si>
  <si>
    <t>DIAGNOSTICO DE SATISFACCIÓN DE LOS CIUDADANOS RESPECTO LOS SERVICIOS PÚBLICOS</t>
  </si>
  <si>
    <t>ENCUESTAS PRIVADAS</t>
  </si>
  <si>
    <t>anual</t>
  </si>
  <si>
    <t xml:space="preserve">% DE SATISFACCIÓN DE LOS CIUDADANOS </t>
  </si>
  <si>
    <t>INDICADORES DE SATISFACCIÓN DE LOS SERVICIOS PÚBLICOS</t>
  </si>
  <si>
    <t>Encuesta Diagnostico Interna</t>
  </si>
  <si>
    <t xml:space="preserve">ESTRATEGIAS DE MEJORAS MAL FUNDAMENTADAS </t>
  </si>
  <si>
    <t>% DIAGNOSTICO 2021</t>
  </si>
  <si>
    <t>ACCESIBILIDAD AL ESPACIO PÚBLICO ABIERTO</t>
  </si>
  <si>
    <t xml:space="preserve">%  del área urbana del municipio cercana a espacios públicos </t>
  </si>
  <si>
    <t xml:space="preserve">Indice de Ciudades Prosperas </t>
  </si>
  <si>
    <t>Anual</t>
  </si>
  <si>
    <t>% de espacios públicos recreativos en comparativa con la densidad del municipio</t>
  </si>
  <si>
    <t>aumentar el % de espacios Públicos de calidad en el municipio</t>
  </si>
  <si>
    <t xml:space="preserve">FALTA DE PRESUPUESTO PARA DIGNIFICAR ESPACIOS PÚBLICOS </t>
  </si>
  <si>
    <t xml:space="preserve">ABATIR EL DÉFICIT Y DAR MANTENIMIENTO ADECUADO A LA RED DE ALUMBRADO PÚBLICO. </t>
  </si>
  <si>
    <t xml:space="preserve">Cobertura en el servicio de alumbrado público. </t>
  </si>
  <si>
    <t xml:space="preserve">GUIA CONSULTIVA </t>
  </si>
  <si>
    <t>% DE COBERTURA EN EL MUNICIPIO DE ZAPOTLANEJO</t>
  </si>
  <si>
    <t>La cobertura en el servicio de alumbrado público es mayor o igual a 80%.</t>
  </si>
  <si>
    <t>GUIA CONSULTIVA 2021</t>
  </si>
  <si>
    <t xml:space="preserve">FALTA DE PRESUPUESTO PARA ESTA PARTIDA </t>
  </si>
  <si>
    <t>% DE COBERTURA AL MOMENTO</t>
  </si>
  <si>
    <t>ABATIR EL DÉFICIT EN EL SERVICIO DE AGUA POTABLE EN VIVIENDAS PARTICULARES.</t>
  </si>
  <si>
    <t>PORCENTAJE DE ACCESO A AGUA MEJORDA</t>
  </si>
  <si>
    <t>IIEJ</t>
  </si>
  <si>
    <t xml:space="preserve">%  DE POBLACION CUBIERTA CON EL SERVICIO DE AGUA MEJORADA ( AGUA POTABLE </t>
  </si>
  <si>
    <t>% DE HABITANTES DE ZAPOTLANEJO QUE CUENTAN CON AGUA POTALE</t>
  </si>
  <si>
    <t>IIEJ (ULTIMA INFORMACIÓN)</t>
  </si>
  <si>
    <t xml:space="preserve">FALTA DE CONTROL EN ASENTAMIENTOS IRREGULARES </t>
  </si>
  <si>
    <t xml:space="preserve">GARANTIZAR LA CONCENTRACIÓN Y TRATAMIENTO DE LAS AGUAS RESIDUALES PARA SU DEBIDA UTILIZACIÓN. </t>
  </si>
  <si>
    <t xml:space="preserve">TRATAMIENTO DE AGUAS RESIDUALES </t>
  </si>
  <si>
    <t xml:space="preserve">SIME </t>
  </si>
  <si>
    <t xml:space="preserve">% DE AGUA TRATADA EN ZAPOTLANEJO </t>
  </si>
  <si>
    <t>AUMENTAR EL TRATAMIENTO DE AGUAS RESIDUALES EN ZAPOTLANEJO</t>
  </si>
  <si>
    <t xml:space="preserve">BITACORAS INTERNAS </t>
  </si>
  <si>
    <t xml:space="preserve">FALTA DE MANTENIMIENTO PREVENTIVO Y CORRECTIVO A INSTALACIONES, NUEVAS PLANTAS TRATADORAS PARA AUMENTAR LA COBERTURA, FALTA DE CUMPLIMIENTO A LOS LINIAMIENTOS NORMATIVOS QUE MARCA LA FEDERACION PARA DEJAR TRABAJAR A EMPRESAS PRIVADAS QUE CONECTEN SUS RESIDUOS A LOS DRENAJES MUNICIPALES </t>
  </si>
  <si>
    <t>% DE AGUA TRATADA A CIERRE SEPTIEMBRE 2021</t>
  </si>
  <si>
    <t>CONTAR CON CARNE VERIFICADA PARA TODOS LOS HABITANTES DEL MUNICIPIO</t>
  </si>
  <si>
    <t>ONT</t>
  </si>
  <si>
    <t xml:space="preserve">% DE SACRIFICIOS EN EL RASTRO MUNICIPAL Y TERCERAS PERSONAS </t>
  </si>
  <si>
    <t xml:space="preserve">% DE SACRIFICIOS REALIZADOS EN EL RASTRO EN COMPARACION CON LOS PERMISOS PRIVADOS DE MATANZA </t>
  </si>
  <si>
    <t>FALTA DE SEGUIMIENTO A LAS BITACORAS DE MATANZA A PARTICULARES</t>
  </si>
  <si>
    <t xml:space="preserve">% DE CARNE VERIFICADA CONTRA LAS NECESIDADES DEL MUNICIPIO </t>
  </si>
  <si>
    <t>% DE COBERTURA EN LA  RECOLECCION DE RESIDUOS SOLIDOS EN EL MUNICIPIO</t>
  </si>
  <si>
    <t xml:space="preserve">RECOLECCION DE RESIDUOS SOLIDOS </t>
  </si>
  <si>
    <t>% TASA DE COBERTURA DE RESIDUOS A 2018</t>
  </si>
  <si>
    <t>Proporción de viviendas que cuentan con servicio de re- colección de residuos sólidos.</t>
  </si>
  <si>
    <t>GUIA CONSULTIVA</t>
  </si>
  <si>
    <t xml:space="preserve">FALTA DE NUEVOS MODELOS LOGISTICOS PARA BRINDAR MAYOR COBERTURA </t>
  </si>
  <si>
    <t>% DE COBERTURA ACTUAL</t>
  </si>
  <si>
    <t>A.1 PRESERVAR EL VALOR DE LA INFRAESTRUCTURA MUNICIPAL  MINIMIZANDO EL USO Y EL DETERIORO</t>
  </si>
  <si>
    <t>TOTAL DE ACCIONES DE MANTENIMIENTO REALIZADAS EN EL MUNICIPIO</t>
  </si>
  <si>
    <t>TOTAL DE ACCIONES REALIZADAS EL AÑO PASADO</t>
  </si>
  <si>
    <t>ACCIONES DE MANTENIMIENTO IGUAL O &gt; A LAS DEL AÑO PASADO</t>
  </si>
  <si>
    <t>FALTA DE CAPITAL HUMANO SUFICIENTE</t>
  </si>
  <si>
    <t>ACCIONES REALIZADAS EN EL AÑO VIGENTE</t>
  </si>
  <si>
    <t>ACCIONES DE MANTENIMIENTO REALIZADAS A EDIFICIOS PÚBLICOS</t>
  </si>
  <si>
    <t>ACCIONES DE MANTENIMIENTO REALIZADAS A ESCUELAS DEL MUNICIPIO</t>
  </si>
  <si>
    <t xml:space="preserve">A.2 DIGNIFICAR LOS ESPACIOS PÚBLICOS 
</t>
  </si>
  <si>
    <t>ACONDICIONAMIENTO DE ESPACIOS PÚBLICOS</t>
  </si>
  <si>
    <t>A.3 ELABORAR Y EJECUTAR LOS PROGRAMAS MUNICIPALES PARA LA CONSERVACIÓN, REHABILITACIÓN, APROVECHAMIENTO, CREACIÓN Y CUIDADO DE LAS ÁREAS VERDES, FUENTES, PLAZAS, MONUMENTOS Y ESPACIOS VERDES DEL MUNICIPIO.</t>
  </si>
  <si>
    <t>MANTENIMIENTO A ÁREAS VERDES DEL MUNICIPIO</t>
  </si>
  <si>
    <t>A.4 MANTENER EN OPTIMAS CONDICIONES EL PARQUE VEHICULAR MUNICIPAL</t>
  </si>
  <si>
    <t>VEHICULOS DEL AYUNTAMIENTO REPARADOS</t>
  </si>
  <si>
    <t>VEHICULOS EN BUENAS CONDICIONES (PADRÓN MUNICIPAL)</t>
  </si>
  <si>
    <t xml:space="preserve">VEHICULOS DADOS DE ALTA EN EL PADRÓN/ VEHICULOS EN BUENAS CONDICIONES </t>
  </si>
  <si>
    <t xml:space="preserve">BITACORA ADMINISTRATIVA </t>
  </si>
  <si>
    <t xml:space="preserve">FALTA DE CULTURA PREVENTIVA A LOS USUARIOS DE VEHICULOS OFICIALES </t>
  </si>
  <si>
    <t>% DE VEHICULOS EN BUENAS CONDICIONES A CIERRE 2021</t>
  </si>
  <si>
    <t>A.5PROPORCIONAR LOS SERVICIOS DE AGUA POTABLE Y ALCANTARILLADO EN FORMA OPORTUNA Y SUFICIENTE A LA POBLACIÓN, DE LA CABECERA MUNICIPAL, Y LAS COMUNIDADES.</t>
  </si>
  <si>
    <t>MANTENIMIENTO GENERAL A INFRAESTRUCTURA DE AGUA POTABLE</t>
  </si>
  <si>
    <t>A.6 PRODUCIR EFLUENTE REUTILIZABLE EN EL AMBIENTE Y UN RESIDUO SÓLIDO CONVENIENTES PARA SU DISPOSICIÓN O REUTILIZACIÓN</t>
  </si>
  <si>
    <t>VOLUMEN DE AGUAS TRATADAS</t>
  </si>
  <si>
    <t>TOTAL DE AGUAS TRATADAS EL AÑO PASADO</t>
  </si>
  <si>
    <t>AGUAS TRATADAS IGUAL O &gt; A LAS DEL AÑO PASADO</t>
  </si>
  <si>
    <t>FALTA DE MANTENIMIENTO PREVENTIVO A PLANTA TRATADORA</t>
  </si>
  <si>
    <t>AGUAS TRATADAS AL MOMENTO</t>
  </si>
  <si>
    <t>A.7 FOMENTAR QUE EL MAYOR NÚMERO DE SACRIFICIOS DE GANADO EN EL MUNICIPIO SE REALICE EN RASTROS EN CONDICIONES DE SANIDAD E HIGIENE.</t>
  </si>
  <si>
    <t>COBERTURA DEL SERVICIO DE RASTRO</t>
  </si>
  <si>
    <t>COBERTUA DEL RASTRO 2020</t>
  </si>
  <si>
    <t>La cobertura del servicio de rastro es mayor o igual a 80%.</t>
  </si>
  <si>
    <t>FALTA DE SEGUIMIENTO A MATADEROS DEL MUNICIPIO ( REGULARIZADOS Y CLANDESTINOS)</t>
  </si>
  <si>
    <t>A.8 REPARAR Y DAR MANTENIMIENTO AL SISTEMA DE ALUMBRADO PÚBLICO, AUMENTAR LA SEGURIDAD Y LA FLUIDEZ DE LA CIRCULACIÓN EN LAS VIALIDADES, AYUDANDO A REDUCIR EL NÚMERO DE ACCIDENTES DURANTE LA NOCHE. AUMENTAR LA SEGURIDAD DE LAS PERSONAS Y SUS BIENES.</t>
  </si>
  <si>
    <t>MANTENIMIENTO ELECTRICO A INFRAESTRUCTURA MUNICIPAL</t>
  </si>
  <si>
    <t>A.9 MANTENER EL MUNICIPIO  LIMPIO PRESTANDO LOS SERVICIOS DE CALIDAD EN EL MANEJO DE LOS RESIDUOS SÓLIDOS URBANOS.</t>
  </si>
  <si>
    <t>RESIDUOS RECOLECTADOS EN EL CENTRO HISTORICO</t>
  </si>
  <si>
    <t xml:space="preserve">ACCIONES DE LIMPIEZA IGUAL O &gt; A LAS DEL AÑO PASADO </t>
  </si>
  <si>
    <t>MENOS PERSONAL ENFOCADO A REALIZAR LIMPIEZA DE CABECERA MUNICIPAL</t>
  </si>
  <si>
    <t>A.10 FAVORECER LA SALUD DE LA CIUDADANÍA, CONTROLANDO LA POBLACIÓN CANINA CALLEJERA Y FOMENTANDO UNA CULTURA DE PROTECCIÓN HACIA LOS ANIMALES.</t>
  </si>
  <si>
    <t>REPORTES ATENDIDOS</t>
  </si>
  <si>
    <t>REPORTES  HECHOS POR LA CIUDADANIA</t>
  </si>
  <si>
    <t>EFICIENCIA DE REPORTES ATENDIDOS / REPORTES HECHOS</t>
  </si>
  <si>
    <t xml:space="preserve">FALTA DE SEGUIMIENTO A REPORTES  DE LA CIUDADANIA </t>
  </si>
  <si>
    <t xml:space="preserve">REPORTES REALIZADOS POR EL DEPARTAMENTO </t>
  </si>
  <si>
    <t>A.11 GARANTIZAR EL SUMINISTRO CONTINUO Y OPORTUNO DE LOS MATERIALES Y MEDIOS DE PRODUCCIÓN REQUERIDOS PARA ASEGURAR LOS SERVICIOS DE FORMA ININTERRUMPIDA Y RÍTMICA.</t>
  </si>
  <si>
    <t>EXISTENCIA EN ALMACEN</t>
  </si>
  <si>
    <t>PROMEDIO DE EXISTENCIAS  DEL AÑO PASADO</t>
  </si>
  <si>
    <t>STOCK DE ALMACEN ESPECIFICO A LAS NECESIDAS DEL AYUNTAMIENTO</t>
  </si>
  <si>
    <t>INVENTARIO INTERNO</t>
  </si>
  <si>
    <t xml:space="preserve">MATERIALES INECESARIOS EN EL ALMACEN </t>
  </si>
  <si>
    <t>PROMEDIO DE EXISTENCIAS  DEL AÑO VIGENTE</t>
  </si>
  <si>
    <t>Matriz de Indicadores de Resultado (MIR)</t>
  </si>
  <si>
    <t>CONSTRUCCION DE LA COMUNIDAD</t>
  </si>
  <si>
    <t xml:space="preserve">PROGRAMA PARA CONSTRUIR COMUNIDADES SANAS QUE FOMENTEN LA PAZ SOCIAL </t>
  </si>
  <si>
    <t>701010</t>
  </si>
  <si>
    <t>3. SALUD Y BIENESTAR 4. EDUCACION DE CALIDAD 5. IGUALDAD DE GENERO 10. REDUCCION DE LAS DESIGUALDADES 11. CIUDADES Y COMUNIDADES SOSTENIBLES</t>
  </si>
  <si>
    <t xml:space="preserve">EJE 2: BIENESTAR SOCIAL </t>
  </si>
  <si>
    <t>6.4 DESARROLLO SOCIAL</t>
  </si>
  <si>
    <t xml:space="preserve">BIENESTAR PARA TODAS Y TODOS </t>
  </si>
  <si>
    <t>RECURSOS HUMANOS,SEGURIDAD PÚBLICA, SECRETARIA GENERAL, GABINETE, DESARROLLO EOCNOMICO,SERVICIOS GENERALES.</t>
  </si>
  <si>
    <t xml:space="preserve">Mejorar la calidad de vida de los habitantes de Zapotlanejo 
</t>
  </si>
  <si>
    <t>Fomentar estrategias para la formación ciudadana, la construcción de comunidades y el fortalecimiento del tejido social "sana convivencia y paz social"</t>
  </si>
  <si>
    <t>DIAGNOSTICO DE SATISFACCIÓN GENERAL DE LOS PROYECTOS ESPECIFICOS DE   CONSTRUCCION DE LA COMUNIDAD</t>
  </si>
  <si>
    <t>DIAGNOSTICO INTERNO</t>
  </si>
  <si>
    <t>% de satisfacción esperado</t>
  </si>
  <si>
    <t>ver la satisfacción de la ciudadania ante la realización de eventos que fomenten la construccion de la comunidad</t>
  </si>
  <si>
    <t>Diagnostico Interno</t>
  </si>
  <si>
    <t>Falta de aplicación del diagnostico para ver la satisfacción de los programas con fines de construccion de la comunidad</t>
  </si>
  <si>
    <t>% de satisfacción optenido</t>
  </si>
  <si>
    <t>R.1 Ofrecer un espacio recreativo donde los habitantes del municipio puedan promover la sana convivencia y paz social como oportunidad para mejorar el bienestar de la sociedad</t>
  </si>
  <si>
    <t xml:space="preserve">ENCUESTA DE SATISFACCIÓN DEL PARQUE </t>
  </si>
  <si>
    <t>% DE SATISFACCIÓN  ESTIMADO</t>
  </si>
  <si>
    <t>Aumentar la satisfacción de los visitantes del lugar</t>
  </si>
  <si>
    <t>Diagnostico interno</t>
  </si>
  <si>
    <t xml:space="preserve">Falta de aplicación del diagnostico para ver la realidad del parque </t>
  </si>
  <si>
    <t>% DE SATISFACCIÓN 2021</t>
  </si>
  <si>
    <t>R.2 Fomentar el desarrollo integral de los habitantes de Zapotlanejo</t>
  </si>
  <si>
    <t>Población alfabetizada</t>
  </si>
  <si>
    <t xml:space="preserve">MIDE JALISCO </t>
  </si>
  <si>
    <t>% DE ALBATEIZACION 2020</t>
  </si>
  <si>
    <t>Aumentar el grado de alfabetizacion municipale</t>
  </si>
  <si>
    <t xml:space="preserve">Secretaria de Educacion </t>
  </si>
  <si>
    <t>Falta de politicas que fomenten el desarrollo educativo</t>
  </si>
  <si>
    <t>% DE ALFABETIZACION 2021</t>
  </si>
  <si>
    <t>R.3 Llegar al mayor número de Zapotlanejenses  para que a través de la implementación de diversos programas culturales  se estimule el desarrollo integral de las familias así como impulsar la producción artística, el fortalecimiento de nuestras tradiciones.</t>
  </si>
  <si>
    <t>Asistentes a eventos culturales</t>
  </si>
  <si>
    <t>PERSONAS QUE ASISTIERON A EVENTOS CULTURALES EN 2020</t>
  </si>
  <si>
    <t>Tener mayor cantidad de asistentes a eventos culturales</t>
  </si>
  <si>
    <t xml:space="preserve">Contingencias que eviten el desarrollo de eventos </t>
  </si>
  <si>
    <t>PERSONAS QUE ASISTIERON A EVENTOS CULTURALES EN 2021</t>
  </si>
  <si>
    <t>R.4 Llegar al mayor número de Zapotlanejenses para que a través de la implementación de diversos programas  deportivos se estimule el desarrollo integral de las familias así como impulsar , el desarrollo  de los deportistas .</t>
  </si>
  <si>
    <t>indices de obecidad en zapotlanejo</t>
  </si>
  <si>
    <t>INDICE DE OBECIDAD 2020</t>
  </si>
  <si>
    <t>Bajar los indices de obecidad del municipio</t>
  </si>
  <si>
    <t>Secretaria de salud</t>
  </si>
  <si>
    <t>Estrategias para evatir este problema mal fundamentadas</t>
  </si>
  <si>
    <t>INDICE DE OBECIDAD 2021</t>
  </si>
  <si>
    <t>R.5,9 Movilizar el tejido social de nuestra ciudad, sobre la base de los valores participativos, para entre todos/as crear una ciudad dinámica y participativa</t>
  </si>
  <si>
    <t xml:space="preserve">PADRÓN DE PARTICIPACION CIUDADANA </t>
  </si>
  <si>
    <t>HERRAMIENTAS PARTICIPATIVAS ESPERADAS EN 2021</t>
  </si>
  <si>
    <t>Contar con alguna herramienta participativa en todas las comunidades que integran el municipio</t>
  </si>
  <si>
    <t>Bitacora Interna</t>
  </si>
  <si>
    <t xml:space="preserve">Falta de compromiso entre gobierno y sociedad por escuchar las propuestas de los más necesitados </t>
  </si>
  <si>
    <t>HERRAMINIENTAS PARTICIPATIVAS GENERADAS EN 2021</t>
  </si>
  <si>
    <t>R.6-8 Impulsar una sociedad en la que los ciudadanos ejerzan plenamente sus derechos sociales y se reduzcan las desigualdades de las personas, a fin de lograr un desarrollo integral, sostenible y corresponsable.</t>
  </si>
  <si>
    <t>Posición en el Índice de Rezago Social</t>
  </si>
  <si>
    <t>POSICIÓN 2018</t>
  </si>
  <si>
    <t>SUBIR EN EL RANKING ESTATAL DE LOS MUNICIPIOS QUE CUENTAN CON MENOR REZAGO SOCIAL</t>
  </si>
  <si>
    <t>Programas sociales con criterios idefinidos por parte del Gobierno Federal</t>
  </si>
  <si>
    <t>POSICIÓN 2021</t>
  </si>
  <si>
    <t>A.1 Fomentar la conservarción  de  un espacio  con valor historico, cultural y recreativo donde se pueda convivir directamente con la naturaleza conservando la biodiversidad del entorno.</t>
  </si>
  <si>
    <t xml:space="preserve">Acciones de mantenimiento realizadas en el parque </t>
  </si>
  <si>
    <t>% de avance en el programa de mantenimiento preventivo 2020</t>
  </si>
  <si>
    <t xml:space="preserve">Completar el programa de mantenimiento preventivo </t>
  </si>
  <si>
    <t>Falta de coordinacion en el ejecucion de programas preventivos de mantenimiento</t>
  </si>
  <si>
    <t>% de avance en el programa de mantenimiento preventivo 2021</t>
  </si>
  <si>
    <t xml:space="preserve">A.2 Promover el desarrollo educativo en el Municipio </t>
  </si>
  <si>
    <t>Gestiones ante entidades estatales y federales que fomenten el desarrollo educativo del municipio</t>
  </si>
  <si>
    <t>Gestiones realizadas en 2020</t>
  </si>
  <si>
    <t>Aumentar las gestiones de alto impacto que generen el desarrollo educativo del municipio</t>
  </si>
  <si>
    <t>Falta de seguimiento a programas de apoyo en el sector educativo</t>
  </si>
  <si>
    <t>Gestiones realizadas en 2021</t>
  </si>
  <si>
    <t>A.3 Fomentar actividades culturales con fines recreativos, buscando un  enfoque incluyente en los diferentes espacios Públicos que integran  el municipio.</t>
  </si>
  <si>
    <t xml:space="preserve">Padrón total de participantes en las diferentes actividades culturales </t>
  </si>
  <si>
    <t>padrón de beneficiarios 2020</t>
  </si>
  <si>
    <t>Aumentar el padrón de benfeciarios culturales  en comparativa con el 2021</t>
  </si>
  <si>
    <t xml:space="preserve">Contingencias que eviten el desarroo de eventos Culturales </t>
  </si>
  <si>
    <t>Padrón de beneficiarios 2021</t>
  </si>
  <si>
    <t xml:space="preserve">A.4 Promover el deporte con fines recreativos </t>
  </si>
  <si>
    <t xml:space="preserve">Padrón total de participantes en las diferentes actividades deportivas que realiza el área de deportes </t>
  </si>
  <si>
    <t>Aumentar el padrón de benfeciarios deportivos en comparativa con el 2021</t>
  </si>
  <si>
    <t>Contingencias que eviten el desarrollo de eventos deportivos</t>
  </si>
  <si>
    <t>A.5 Fomentar la participacion ciudadana en todo el municipio</t>
  </si>
  <si>
    <t>Fomentar la participacion ciudadana por medio de asociaciones vecinales, comites de obra y contralorias ciudadanas.</t>
  </si>
  <si>
    <t>Total de ciudadanos participantes en alguna asociacion, comité o contraoria ciudadana en 2020</t>
  </si>
  <si>
    <t xml:space="preserve">Aumentar la participacion de la ciudadania </t>
  </si>
  <si>
    <t xml:space="preserve">Desinteres de la ciudadania por ser participes activos </t>
  </si>
  <si>
    <t>Total de ciudadanos participantes en alguna asociacion, comité o contraoria ciudadana en 2021</t>
  </si>
  <si>
    <t xml:space="preserve">A.6 Proveer de acciones especificas que fomenten el desarrollo social </t>
  </si>
  <si>
    <t>Programas con fines sociales aplicados en el municipio</t>
  </si>
  <si>
    <t>Programas sociales aplicados en el 2020</t>
  </si>
  <si>
    <t>Aumentar el número de beneficiarios con programas sociales aplicados en el municipio</t>
  </si>
  <si>
    <t>Bitacoras Internas</t>
  </si>
  <si>
    <t xml:space="preserve">Falta de presupuesto para la aplicación de algunos programas sociales </t>
  </si>
  <si>
    <t>Programas sociales aplicados en el 2021</t>
  </si>
  <si>
    <t>A.7 Realizar acciones que promuevan la igualdad entre hombres y mujeres</t>
  </si>
  <si>
    <t>Mujeres que participaron activamente en los eventos realizados por el Instituto de la Mujer</t>
  </si>
  <si>
    <t>Mujeres participantes en eventos en 2020</t>
  </si>
  <si>
    <t>Aumentar la promocion,difusion y participacion de las mujeres  en el municipio en comparativa con el 2020</t>
  </si>
  <si>
    <t>Mujeres participantes en eventos en 2021</t>
  </si>
  <si>
    <t xml:space="preserve">A.8 Realizar acciones que promuevan el desarrollo igualitario entre  nuestros jovenes </t>
  </si>
  <si>
    <t>Jovenes que participaron activamente en los eventos realizados por el Instituto de la Juventud</t>
  </si>
  <si>
    <t>Jovenes participantes en eventos en 2020</t>
  </si>
  <si>
    <t>Aumentar la promocion,difusion y participacion de los jovenes en el municipio en comparativa con el 2020</t>
  </si>
  <si>
    <t>Jovenes participantes en eventos en 2021</t>
  </si>
  <si>
    <t>A.9 Dotar espacios Públicos que fomenten el desarrollo sostenible de la comunidad</t>
  </si>
  <si>
    <t>Eventos Realizados en CDC's</t>
  </si>
  <si>
    <t>EVENTOS REALIZADOS EN AÑO PASADO</t>
  </si>
  <si>
    <t>Aumentar el número de eventos internos de los CDC</t>
  </si>
  <si>
    <t>EVENTOS REALIZADOS EN 2021</t>
  </si>
  <si>
    <t>F-GAB-03-04</t>
  </si>
  <si>
    <t>PROGRAMAS SOCIALES</t>
  </si>
  <si>
    <t xml:space="preserve">PROGRAMA ESPECIFICO DE VULNERABILIDADES LOCALES </t>
  </si>
  <si>
    <t>1. FIN DE LA POBREZA 8. TRABAJO DECENTE Y CRECIMIENTO ECONOMICO 10. REDUCCIONES DE LAS DESIGUALDADES3. SALUD Y BIENESTAR 4. EDUCACION DE CALIDAD 5. IGUALDAD DE GENERO 10. REDUCCION DE LAS DESIGUALDADES 11. CIUDADES Y COMUNIDADES SOSTENIBLES</t>
  </si>
  <si>
    <t>GOBIERNO ESTATAL Y FEDERAL, ONU, HABITANTES DE ZAPOTLANEJO</t>
  </si>
  <si>
    <t xml:space="preserve"> CONTRIBUIR A LA MEJORA DE LAS CONDICIONES DE VIDA DE LA POBLACIÓN</t>
  </si>
  <si>
    <t>CALIDAD DE VIDA DEL MUNICIPIO DE ZAPOTLANEJO</t>
  </si>
  <si>
    <t>CALIFICACION OTORGADA CON BASE AL CUMPLIMIENTO DE INDICADORES OPTIMOS</t>
  </si>
  <si>
    <t>RECESIÓN ECONOMICA A NIVEL GLOBAL /MALA DISPERCION DE LOS APOYOS / FALTA DE APOYO A NIVEL ESTATAL Y FEDERAL/ GESTIONES INADECUADAS POR PARTE DEL GOBIERNO LOCAL</t>
  </si>
  <si>
    <t>ABATIR LOS DIFERENTES TIPOS DE REZAGO CON LOS QUE CUENTA EL MUNICIPIO</t>
  </si>
  <si>
    <t>POBREZA MULTIDIMENCIONAL EN ZAPOTLANEJO</t>
  </si>
  <si>
    <t xml:space="preserve">IIEG </t>
  </si>
  <si>
    <t>PORCENTAJE DE POBREZA MULTIDIMENCIONAL EN ZAPOTLANEJO</t>
  </si>
  <si>
    <t>CONTAR CON UN PORCENTAJE DE POBREZA MULTIDIMENCIONAL INFERIOR AL 36.3 SEGÚN LAS VARIABLES UTILIZADAS POR EL IIEG (ESTADISTICA 2015)</t>
  </si>
  <si>
    <t>EL MUNCIPIO CUENTA CON UN PORCENTAJE DE POBREZA MULTIDIMENCIONAL  IGUAL O INFERIOR AL 36.2</t>
  </si>
  <si>
    <t>POBREZA MULTIDIMENCIONAL EN ZAPOTLANEJO ACTUALMENTE</t>
  </si>
  <si>
    <t>BAJAR LOS INDICADORES DE CARENCIAS SOCIALES DENTRO DEL MUNICIPIO</t>
  </si>
  <si>
    <t>PROVEER DE APOYOS QUE BENEFICIEN EL DESARROLLO ECONOMICO DEL MUNICIPIO</t>
  </si>
  <si>
    <t>BAJAR EL INDICE DE POBLACIÓN NO ECONOMICAMENTE ACTIVA DEL MUNICIPO DE ZAPOTLANEJO                                                                    (DISMINUIR EL INDICE DE POBLACION ECONOMICAMENTE INACTIVA)</t>
  </si>
  <si>
    <t>SECRETARIA DE DESARROLLO SOCIAL</t>
  </si>
  <si>
    <t>BAJAR LA DESERCIÓN ESCOLAR EN EL MUNICIPIO</t>
  </si>
  <si>
    <t xml:space="preserve">PERSONAS BENEFICIADAS CON ALGUN TIPO DE APOYO </t>
  </si>
  <si>
    <t>HABITANTES DEL MUNICIPIO BENEFICIADOS CON EL PROGRAMA</t>
  </si>
  <si>
    <t xml:space="preserve">MALA DISPERCION DE APOYOS A BENEFICIADOS/FALTA DE CAMPAÑAS DE  DIFUSION DE APOYOS </t>
  </si>
  <si>
    <t xml:space="preserve">TOTAL DE BENEFICIADOS AL TERMINO DEL AÑO </t>
  </si>
  <si>
    <t>BENEFICIAR A MÁS DE 1000 HABITANTES DEL MUNICIPIO CON ALGUN TIPO APOYO AL SECTOR AGRICOLA O GANADERO</t>
  </si>
  <si>
    <t xml:space="preserve">PROGRAMAS SOCIALES ENFOCADOS AL DESARROLLO ECONOMICO RURAL QUE  HA BENEFICIADO A MÁS DE 1000 HABITANTES QUE SE DEDICAN A LA PRODUCTIVIDAD DEL CAMPO </t>
  </si>
  <si>
    <t>GABINETE</t>
  </si>
  <si>
    <t>PLANEACIÓN ESTRATÉGICA MUNICIPAL (P.E.M)</t>
  </si>
  <si>
    <t>CONTRIBUIR A MEJORAR Y CONSOLIDAR LAS CAPACIDADES  INSTITUCIONALES DE LA ADMINISTRACION PUBLICA MUNICIPAL IMPULSANDO MEJORES PRACTICAS Y PROMOVIENDO LA CULTURA DE LA EVALUACION PARA LOGRAR MEJORES RESULTADOS.</t>
  </si>
  <si>
    <t>DISEÑAR,COORDINAR E IMPLEMENTAR ESTRATEGIAS QUE GENEREN LA MEJORA EN LOS PROCESOS DE MANERA COLEGIADA E INTER-INSTITUCIONAL</t>
  </si>
  <si>
    <t>INDICE DE SISTEMAS DE PLANEACION Y EVALUACIÓN MUNICIPAL</t>
  </si>
  <si>
    <t>SE CUENTA CON 100% DE LOS ELEMENTOS DE PLANEACIÓN</t>
  </si>
  <si>
    <t>CALIFICACION OTORGADA POR EL ITEI</t>
  </si>
  <si>
    <t>CAMBIO DE HERRAMIENTAS DE PLANEACION DEBIDO A NUEVAS POLITICAS</t>
  </si>
  <si>
    <t>A.I.I-A.I.6 ELEVAR LA CALIDAD EN LOS PROCESOS Y SERVICIOS INSTITUCIONALES POR MEDIO DE HERRAMIENTAS QUE POTENCIALICEN EL DESARROLLO ADMINISTRATIVO-OPERATIVO DEL AYUNTAMIENTO MUNICIPAL EN BUSCA DE LA MEJORA CONTINUA.</t>
  </si>
  <si>
    <t>SEGUIMIENTO AL PROGRAMA DE MEJORA INSTITUCIONAL</t>
  </si>
  <si>
    <t>CUMPLIMIENTO A LAS METAS DE DETERMINADAS ACCIONES REALIZADAS SEGÚN EL PROGRAMA DE MEJORA INSTITUCIONAL</t>
  </si>
  <si>
    <t>CUMPLIMINTO DE LAS METAS PLANTEADAS POR LA JEFATURA DE GESTION DE CALIDAD CONFORME EL SIME</t>
  </si>
  <si>
    <t>FALTA DE SEGUIMIENTO ESTRATEGICO EN BUSCA DE PUNTOS DE MEJORA A TODAS LAS PARTES QUE INTEGRAN EL AYUNTAMIENTO</t>
  </si>
  <si>
    <t>A.I.2  GENERAR INFORMACIÓN CLARA Y VERAS PARA LA TOMA DE DESICIONES EN LA PLANEACION MUNICIPAL.</t>
  </si>
  <si>
    <t>SEGUIMIENTO AL PROGRAMA INFORMACIÓN PERTINENTE</t>
  </si>
  <si>
    <t>CUMPLIMIENTO A LAS METAS DETERMINADAS POR PARTE DE LAS ACCIONES REALIZADAS SEGÚN EL PROGRAMA INFORMACIÓN PERTINENTE</t>
  </si>
  <si>
    <t>CUMPLIMINTO DE LAS METAS PLANTEADAS POR LA JEFATURA DE SISTEMA DE INFORMACIÓN MUNICIPAL ESTRATEGICA</t>
  </si>
  <si>
    <t>INFORMACIÓN SIN JUSTIFICACION VERIDICA,ÁREAS QUE NO ENTREGAN LA INFORMACIÓN DETERMINADA A TIEMPO.</t>
  </si>
  <si>
    <t>A.I.3  CONTAR CON UNA REPRESENTACION DIGNA Y PROFESIONAL EN TODOS LOS ESPACIOS DE TRABAJO COLABORATIVAS, CON OTRAS INSTITUCIONES Y DEMAS DEPENDENCIAS GUBERNAMENTALES PARA  CANALIZAR ESTRATEGIAS A LAS ARES TECNICAS ESPECIALIZADAS.</t>
  </si>
  <si>
    <t>SEGUIMIENTO AL PROGRAMA DE GESTION Y COLABORACION INTER-INSTITUCIONALY DEMAS DEPENDENCIAS GUBERNAMENTALES</t>
  </si>
  <si>
    <t>ACCIONES  EXITOSAS REALIZADAS SEGÚN EL PROGRAMA DE GESTION Y COLABORACION INTER-INSTITUCIONAL</t>
  </si>
  <si>
    <t>CUMPLIMINTO DE LAS METAS PLANTEADAS POR LA JEFATURA DE GESTION Y COORDINACION METROPOLITANA CONFORME EL SIME</t>
  </si>
  <si>
    <t>FALTA DE COMPROMISO EN EL SEGUIMIENTO A LOS ACUERDOS GENERADOS EN LAS DISTINTAS MESAS DE TRABAJO COLABORATIVAS</t>
  </si>
  <si>
    <t>A.I.5 IMPULSAR EL DESARROLLO DE PROYECTOS DE ALTO IMPACTO CON VIAS A CONVERTIRSE EN POLITICAS PÚBLICAS POR MEDIO DEL TRABAJO COLABORATIVO ENTRE LAS PARTES INTERESADAS QUE CONFORMAN LA ADMINISTRACIÓN LOCAL.</t>
  </si>
  <si>
    <t>SEGUIMIENTO DE EFICIENCIA DE PROYECTOS DE ALTO IMPACTO (CON RECURSOS PROPIOS, ESTATALES Y FEDERALES)</t>
  </si>
  <si>
    <t xml:space="preserve">SEGUIMIENTO DE BUENAS PRACTICAS </t>
  </si>
  <si>
    <t>PROGRAMAS DESARROLLADOS</t>
  </si>
  <si>
    <t xml:space="preserve">EFICIENCIA DE LOS PROGRAMAS DESARROLLADOS </t>
  </si>
  <si>
    <t xml:space="preserve">CUMPLIMINTO DE LAS METAS PLANTEADAS EN LOS PROGRAMAS ESPECIFICOS </t>
  </si>
  <si>
    <t>FALTA DE SEGUIMIENTO A LOS PROTOCOLOS PARA LA IMPLEMENTACIÓN DE LOS PROYECTOS AVALADOS POR EL ÁREA DE GABINETE</t>
  </si>
  <si>
    <t>PROGRAMAS EXITOSOS</t>
  </si>
  <si>
    <t>A.I.4 FOMENTAR LA EFICIENCIA DE TRAMITES Y SERVICIOS QUE OFRECE EL GOBIERNO DE ZAPOTLANEJO</t>
  </si>
  <si>
    <t>SEGUIMIENTO AL PROGRAMA DE MEJORA REGULATORIA MUNICIPAL</t>
  </si>
  <si>
    <t xml:space="preserve">EFICIENCIA EN LOS TIEMPOS  DE LOS TRAMITES QUE LA DIRECCION DE MEJORA REGULATORIA DETERMINO </t>
  </si>
  <si>
    <t xml:space="preserve">BAJAR TIEMPOS DE RESPUESTA EN DETERMINADOS TRAMITES Y /O SERVICIOS </t>
  </si>
  <si>
    <t>FALTA DE APLICACIÓN DE LAS TICS PARA FOMENTAR LA EFICIENCIA DE LOS TRAMITES</t>
  </si>
  <si>
    <t>A.I.1 - A.I.6 BUSCAR EL DESARROLLO INSTITUCIONAL POR MEDIO DE HERRAMIENTAS QUE POTENCIALICEN LA EFICIENCIA DE LOS PRODUCTOS Y /O SERVICIOS QUE OFRECE EL AYUNTAMIENTO</t>
  </si>
  <si>
    <t>HERRAMIENTAS DE MEJORA CONTINUA IMPLEMENTADAS A LO LARGO DEL AÑO</t>
  </si>
  <si>
    <t>HERRAMIENTAS DE PLANEACIÓN INSTITUCIONAL</t>
  </si>
  <si>
    <t>HERRAMIENTAS DESARROLLADAS</t>
  </si>
  <si>
    <t>CUMPLIMIENTO CONFORME EL SIME AL PLAN DE TRABAJO</t>
  </si>
  <si>
    <t>POCA SERIEDAD DE LAS APARENTES PARTES BENEFICIADAS PARA LOGRAR ADAPTAR ESTAS NUEVAS HERRAMIENTAS DE MEJORA</t>
  </si>
  <si>
    <t>NÚMERO TOTAL DE AUDITORIAS INTERNAS Y EXTERNAS ENFOCADAS AL DESARROLLO INSTITUCIONAL</t>
  </si>
  <si>
    <t>AUDITORIAS INTERNAS REALIZADAS</t>
  </si>
  <si>
    <t>AUDITORIAS INTERNAS DE DESARROLLO INSTITUCIONAL REALIZADAS</t>
  </si>
  <si>
    <t>CUMPLIMIENTO A LAS AUDITORIAS INTERNAS ESTIPULADAS EN EL CRONOGRAMA DE AUDITORIAS DEL SGC</t>
  </si>
  <si>
    <t>TIEMPOS AJUSTADOS PARA REALIZAR AUDITORIAS INTERNAS MAS EFICIENTES</t>
  </si>
  <si>
    <t>AUDITORIAS INTERNAS CUBIERTAS</t>
  </si>
  <si>
    <t>A.I.2 FUNDAMENTAR DE MANERA VERAS Y EFICIENTE LAS ACCIONES QUE REALIZA EL GIBIERNO MUNICIPAL</t>
  </si>
  <si>
    <t>NÚMERO TOTAL DE ACTUALIZACIÓNES REALIZADAS A LA BASE DE DATOS DEL SIME</t>
  </si>
  <si>
    <t>ACTUALIZACIONES PROPUESTAS</t>
  </si>
  <si>
    <t>ACTULIZACIONES REALIZADAS A L BASE DE DATOS DEL SIME</t>
  </si>
  <si>
    <t>CUMPLIMIENTO REAL AL NUMERO DE ACTUALIZACIONES PROPUESTAS CONFORME A LA META ESTIPULADA POR EL SIME</t>
  </si>
  <si>
    <t>MIGRACION DE LA INFORMACIÓN A OTRA PLATAFORMA</t>
  </si>
  <si>
    <t>ACTUALIZACIONES AL CORTE</t>
  </si>
  <si>
    <t>NÚMERO TOTAL DE SUPERVICIONES EN CAMPO REALIZADAS AL SISTEMA DE INFORMACIÓN ESTRATEGICA MUNICIPAL</t>
  </si>
  <si>
    <t>SUPERVICIONES PROPUESTAS</t>
  </si>
  <si>
    <t xml:space="preserve">SUPERVISIONES REALIZADAS /SUPERVICIONES PROGRAMADAS </t>
  </si>
  <si>
    <t>META AL 100% ALCANZADA DE LA ACCION, REFLEJADA EN EL SIME</t>
  </si>
  <si>
    <t>PARTES INVOLUCRADAS NO CUMPLAN CON LOS ACUERDOS,PRESENTEN EVIDENCIA DIARIA DEFICIENTE Y / O INFORMACIÓN DE DUDOSA PROCEDENCIA</t>
  </si>
  <si>
    <t>SUPERVICIONES REALIZADAS AL CORTE</t>
  </si>
  <si>
    <t>A.I.3 TRABAJOS DE VINCULACIÓN ENTRE LA AMG Y EL GOBIERNO MUNICIPAL</t>
  </si>
  <si>
    <t>SEGUIMIENTO A LAS MESAS DE TRABAJO ENTRE IMEPLAN Y GOBIERNO LOCAL</t>
  </si>
  <si>
    <t>%. PARTICIPACIONES</t>
  </si>
  <si>
    <t>CUMPLIMIENTO A LA META DE ASISTENCIAS A LAS MESAS DE COORDINACION METROPOLITANA PROGRAMADAS</t>
  </si>
  <si>
    <t>NO ASISTIR A ALGUNA MESADE COORDINACION METROPOLITANA, DEBIDO A CAUSAS EXTERNAS (ENFERMEDAD, FALTA DE VEHICULO, ETC.) O JUNTAS A LA MISMA HORA Y EN DIFERENTE LUGAR</t>
  </si>
  <si>
    <t>% PARTICIPACIONES</t>
  </si>
  <si>
    <t>TOTAL DE ACUERDOS ATENDIDOS ENTRE LAS DOS INSTANCIAS</t>
  </si>
  <si>
    <t>%. DE ACUERDOS ATENDIDOS</t>
  </si>
  <si>
    <t>CUMPLIMIENTO A LA META DE ACUERDOS ACATADOS/ ACUERDOS REALIZADOS EN LA MESA DE COORDINACION METROPOLITANA</t>
  </si>
  <si>
    <t>ACUERDOS NO ACATADOS DEBIDO A NO SER CONVENIENTES DE APLICAR AL MUNICIPIO</t>
  </si>
  <si>
    <t>% DE ACUERDOS ATENDIDOS AL MOMENTO</t>
  </si>
  <si>
    <t>A.I.5 GESTIONAR RECURSOS ANTE INSTANCIAS ESTATALES Y FEDERALES PARA LA IMPLEMENTACIÓN DE PROGRAMAS DE ALTO IMPACTO</t>
  </si>
  <si>
    <t>NÚMERO DE GESIONES REALIZADAS/ NÚMERO DE GESTIONES APROBADAS</t>
  </si>
  <si>
    <t>NUMERO DE GESTIONES DE RECURSOS PROPUESTAS</t>
  </si>
  <si>
    <t>CUMPLIMIENTO A LA META DE % DE EFICIENCIA EN LAS GESTIONES PROPUESTAS Y LAS APROVADAS</t>
  </si>
  <si>
    <t>EFICIENCIA DE LAS GESTIONES DE RECURSOS</t>
  </si>
  <si>
    <t>CRITERIOS POCO CLAROS DE LAS CONVOCATORIAS</t>
  </si>
  <si>
    <t xml:space="preserve">NUMERO DE GESTIONES DE RECURSOS APROBADOS AL CORTE </t>
  </si>
  <si>
    <t>A.I.4TRABAJOS COLABORATIVOS ENTRE LAS PARTES INTERNAS EL GOBIERNO LOCAL QUE PROMUEVAN LA EFICIENCIA DE LOS PRODUCTOS Y / O SERVICIOS QUE OFRECE EL AYUNTAMIENTO (TRAMITES)</t>
  </si>
  <si>
    <t xml:space="preserve">ACCIONES A LO LARGO DEL AÑO  QUE FOMENTEN LA EFICIENCIA DE TRAMITES </t>
  </si>
  <si>
    <t>TENTATIVA DE ACCIONES QUE FOMENTEN LA EFICIENCIA DE LOS TRAMITES</t>
  </si>
  <si>
    <t>CUMPLIMIENTO DE LAS METAS DETERMINADAS POR ESTA ÁREA</t>
  </si>
  <si>
    <t>META SUPERADA ENTRE LAS ACCIONES PROPUESTAS Y LAS CULMINADAS</t>
  </si>
  <si>
    <t>FALTA DE INTERES DE LAS ÁREAS POR PROMOVER LA EFICIENCIA DE LOS TRAMITES</t>
  </si>
  <si>
    <t xml:space="preserve"> ACCIONES QUE FOMENTEN LA EFICIENCIA DE LOS TRAMITES</t>
  </si>
  <si>
    <t>PROGRAMA OPERATIVO UNIDAD MULTIFUNCIONAL</t>
  </si>
  <si>
    <t>PATRIMONIO,DESARROLLO ECONOMICO Y COMBATE A LA DESIGUALDAD,INGRESOS MUNICIPALES</t>
  </si>
  <si>
    <t>COMERCIANTES DE ZAPOTLANEJO</t>
  </si>
  <si>
    <t>REGULARIZACION DE COMERCIANTES LOCALES DEACUERDO A LA NORMATIVA APLICABLE</t>
  </si>
  <si>
    <t>% DE CRECIMIENTO RECAUDATORIO EN ESTA PARTIDA</t>
  </si>
  <si>
    <t>REPORTE DE INGRESOS GENERADO POR EL SISTEMA</t>
  </si>
  <si>
    <t>% CRECIMIENTO ESPERADO</t>
  </si>
  <si>
    <t>INGRESOS EN ESTA PARTIDA</t>
  </si>
  <si>
    <t>REPORTE DE INGRESOS REFLEJADOS ANTE TESORERIA</t>
  </si>
  <si>
    <t>HOMOLOGAR CRITERIOS DE FILTROS PARA DAR CON EL RESULTADO PRECISO, JUSTIFICACION ESPECIFICA DE TODO LO INGRESADO POR ESTE DEPARTAMENTO</t>
  </si>
  <si>
    <t>% DE AVANCE</t>
  </si>
  <si>
    <t>TENER UN PADRÓN DE LICENCIAS MUNICIPALES VIVO (ACTUALIZADO Y BIEN ORGANIZADO)</t>
  </si>
  <si>
    <t xml:space="preserve">% DE AVANCE EN LA ACTUALIZACION DEL PADRÓN </t>
  </si>
  <si>
    <t>TAURUS (POR MEDIO DE REPORTES DE ESA ÁREA )</t>
  </si>
  <si>
    <t>REPORTE DE PADRÓN DE LICENCIAS EN EL SISTEMA</t>
  </si>
  <si>
    <t xml:space="preserve">SISTEMA ADMINISTRATIVO UTILIZADO PARA ESTA TAREA </t>
  </si>
  <si>
    <t>DEFICIENCIA EN EL SOFTWARE CON QUE REALIZAN LA RECOGIDA DE DATOS</t>
  </si>
  <si>
    <t xml:space="preserve"> CERTEZA  DE LOS TRAMITES REALIZADOS </t>
  </si>
  <si>
    <t>% AVANCE DE META DEL NUMERO DE LICENCIAS DE GIROS BLANCOS Y RESTRINGIDOS</t>
  </si>
  <si>
    <t>CUMPLIMIENTO DE META ESTABLECIDA</t>
  </si>
  <si>
    <t>% DE CUMPLIMIENTO DEACUERDO A LO PLANTEADO EN EL SIME</t>
  </si>
  <si>
    <t>BAJO DESARRROLLO ECONOMICO LOCAL</t>
  </si>
  <si>
    <t>EXTRACTO DE LAS INSPECCIONES REALIZADAS</t>
  </si>
  <si>
    <t>% AVANCE DE META DEL NUMERO DE INSPECCIONES REALIZADAS A GIROS BLANCOS RESTRINGIDOS Y EVENTOS ESPECIALES</t>
  </si>
  <si>
    <t>BAJA DE INSPECTORES,  MAL PLANTEAMIENTO DE  LAS ACTIVIDADES PRINCIPALES</t>
  </si>
  <si>
    <t>SEGUIMIENTO A LICENCIAS DE GIROS BLANCOS</t>
  </si>
  <si>
    <t xml:space="preserve">% AVANCE DE META DEL NUMERO DE LICENCIAS DE GIROS BLANCOS </t>
  </si>
  <si>
    <t xml:space="preserve">% ACTUAL </t>
  </si>
  <si>
    <t>SEGUIMIENTO A LICENCIAS DE GIROS RESTRINGIDOS</t>
  </si>
  <si>
    <t>% AVANCE DE META DEL NUMERO DE LICENCIAS DE GIROS  RESTRINGIDOS</t>
  </si>
  <si>
    <t xml:space="preserve"> SEGUIMIENTO A INSPECCIONES ORDINARIAS</t>
  </si>
  <si>
    <t xml:space="preserve">% AVANCE DE META DEL NUMERO DE INSPECCIONES ORDINARIAS </t>
  </si>
  <si>
    <t xml:space="preserve"> SEGUIMIENTO A INSPECCIONES EXTRAORDINARIAS</t>
  </si>
  <si>
    <t>% AVANCE DE META DEL NUMERO DE INSPECCIONES EXTRAORDINARIAS REALIZADAS</t>
  </si>
  <si>
    <t xml:space="preserve"> SEGUIMIENTO A EVENTOS ESPECIALES</t>
  </si>
  <si>
    <t>% AVANCE DE META DEL NUMERO DE INSPECCIONES REALIZADAS A  EVENTOS ESPECIALES</t>
  </si>
  <si>
    <t>COORDINACION DE DESARROLLO ECONOMICO</t>
  </si>
  <si>
    <t>PROGRAMA MUNICIPAL DE DESARROLLO ECONOMICO Y COMBATE A LA DESIGUALDAD</t>
  </si>
  <si>
    <t>110112</t>
  </si>
  <si>
    <t>1. FIN DE LA POBREZA 8. TRABAJO DECENTE Y CRECIMIENTO ECONOMICO 10. REDUCCIONES DE LAS DESIGUALDADES 11. CIUDADES Y COMUNIDADES SOSTENIBLES</t>
  </si>
  <si>
    <t>ZAPOTLANEJO PRODUCTIVO E INNOVADOR</t>
  </si>
  <si>
    <t>RECURSOS HUMANOS, CONSTRUCCION DE LA COMUNIDAD,DESARROLLO RURAL</t>
  </si>
  <si>
    <t xml:space="preserve">fortalecer a los diversos sectores productivos del municipio, generar fuentes de empleo, promover la inversión, fomentar la capacitación y mejora de las condiciones del comercio actual, coadyuvar en la productividad de las empresas, explotar de manera sustentable los atractivos turísticos del Municipio y contribuir a elevar la calidad de vida de los habitantes del municipio de Zapotlanejo.
</t>
  </si>
  <si>
    <t>POBLACION NO ECONOMINCAMENTE ACTIVA EN 2010</t>
  </si>
  <si>
    <t>INDICES DE POBREZA MUNICIPAL MENOR A 38</t>
  </si>
  <si>
    <t>INEGI Y SECRETARIA DE DESARROLLO SOCIAL</t>
  </si>
  <si>
    <t>POLITICAS FEDERALES QUE GENEREN UN RETROCESO ECONOMICO EN EL PAIS</t>
  </si>
  <si>
    <t>Fomentar el desarrollo y la ejecución de programas sociales estratégicos que impulsen el desarrollo de la innovación social responsable e incluyente, para garantizar un crecimiento equitativo, equilibrado y sustentable para la población de todas las zonas del municipio.</t>
  </si>
  <si>
    <t xml:space="preserve">  RANKING ESTATAL EN CONCENTRACION DE EMPRESAS                                                                           (% DE UNIDADES ECONOMICAMENTE ACTIVAS / LA MEDIA ESTATAL )</t>
  </si>
  <si>
    <t>POSICION RECIENTE EN EL RANKING ESTATAL DE CONCENTRACION DE EMPRESAS</t>
  </si>
  <si>
    <t xml:space="preserve">IGUAL O MAYOR AL LUGAR 14 DEL RANKING ESTATAL </t>
  </si>
  <si>
    <t>FALTA DE FORMALIZACION DE EMPRESAS MUNICIPALES</t>
  </si>
  <si>
    <t xml:space="preserve">Promover el desarrollo económico sostenido, generando un contexto propicio para la competitividad e innovación en los sectores productivos del municipio mediante el impulso de la inversión e infraestructura, así como una nueva cultura empresarial, potenciando la diversidad y vocación de cada sector económico, en condiciones de sustentabilidad para el beneficio de los Zapotlanejenses. </t>
  </si>
  <si>
    <t>ATRAER Y RETENER LA INVERSION EN LOS DIFERENTES SECTORES ECONOMICOS QUE IMPULSAN EL DESARROLLO ECONOMICO DEL MUNICIPIO                                                   (INCREMENTAR  LA INVERSION DE LOS SECTORES ECONOMICOS EN EL MUNICIPIO)</t>
  </si>
  <si>
    <t>% TASA DE CRECIMIENTO DE LA CREACION O RETENCIÓN DEUNIDADES ECONOMICAS</t>
  </si>
  <si>
    <t>LA TASA DE CRECIMIENTO DE LA CREACIÓN DE UNIDADES ECONÓMICAS ES MAYOR A ?%</t>
  </si>
  <si>
    <t>PROBLEMAS POLITICOS , O DIFERENTES CRITERIOS PARA RETENER LA INVERSION EN EL MUNICIPIO</t>
  </si>
  <si>
    <t>Potencializar los atractivos turísticos a través del desarrollo integral y sustentable de la oferta turística Comercial, Cultural, Religiosa, Histórica y Gastronómica del Municipio, mediante una estrategia de profesionalización y promoción, cuidando la Imagen, servicio, atención, entretenimiento e información constante, con el propósito contribuir al desarrollo económico del Municipio.</t>
  </si>
  <si>
    <t xml:space="preserve">INCREMENTAR LA ACTIVIDAD TURÍSTICA </t>
  </si>
  <si>
    <t>DATOS ESTIMADOS SEGÚN ANÁLISIS A COMERCIANTES</t>
  </si>
  <si>
    <t xml:space="preserve">% TASA DE CRECIMIENTO DEL FLUJO DE TURISTAS </t>
  </si>
  <si>
    <t>LA TASA DE CRECIMIENTO DEL FLUJO DE TURISTAS ES MAYOR A ?%</t>
  </si>
  <si>
    <t>ANÁLISIS GENERAL  POR PARTE DE LA COORDINACIÓN DE DESARROLLO ECONOMICO</t>
  </si>
  <si>
    <t>FALTA DE COORDINACION ENTRE GOBIERNO Y SECTORES PRODUCTIVOS LOCALES</t>
  </si>
  <si>
    <t xml:space="preserve"> Fomentar la proyección internacional del Municipio a través de la creación de vínculos con organismos internacionales y sedes Diplomáticas de distintos países con el fin de promover la cooperación y participación pública y privada que permita potencializar los distintos sectores económicos de Zapotlanejo.</t>
  </si>
  <si>
    <t xml:space="preserve">GESTION DE SEGUIMIENTO A  HERMANAMIENTOS </t>
  </si>
  <si>
    <t xml:space="preserve">LISTA DE HERMANAMIENTOS VIGENTES </t>
  </si>
  <si>
    <t>HERMANAMIENTOS ESTABLECIDOS</t>
  </si>
  <si>
    <t xml:space="preserve">LA TASA DE CRECIMIENTO DE HERMANAMIENTOS DEBE MANTENERCE Y/ O REFRENDARSE EN 5 </t>
  </si>
  <si>
    <t xml:space="preserve">HERMANAMIENTOS VIGENTES </t>
  </si>
  <si>
    <t xml:space="preserve">FALTA DE SEGUIMIENTO A LOS HERMANAMIENTOS </t>
  </si>
  <si>
    <t xml:space="preserve">HERMNAMIENTOS REFRENDADOS Y / 0 NUEVOS </t>
  </si>
  <si>
    <t>Generar e implementar de forma innovadora y oportuna estratégica el desarrollo económico con gran impacto social; criterios de factibilidad y pertinencia, involucrando tanto recursos públicos como aportaciones privadas para la incubación y desarrollo de proyectos que generen empleo y oportunidades de desarrollo a la población.</t>
  </si>
  <si>
    <t>INCREMENTAR  EL EMPLEO FORMAL</t>
  </si>
  <si>
    <t xml:space="preserve">% TASA DE CRECIMIENTO DE EMPLEOS FORMALES </t>
  </si>
  <si>
    <t>GENERACION DE EMPLEOS FORMALES. TASA DE CRECIMIENTO FORMARL &gt;A 6</t>
  </si>
  <si>
    <t>ESTRATEGIAS DEFICIENTES PARA EL DESARROLLO ECONOMICO</t>
  </si>
  <si>
    <t xml:space="preserve"> A.1 Generar mayor bienestar a la población del municipio por medio de la dinamización de la economía local. </t>
  </si>
  <si>
    <t xml:space="preserve">Personas certificadas por la escuela de Negocios </t>
  </si>
  <si>
    <t xml:space="preserve">Plataforma de la escuela virtual de negocios </t>
  </si>
  <si>
    <t xml:space="preserve">PERSONAS REGISTRADAS </t>
  </si>
  <si>
    <t>EMPRENDEDORES CERTIFICADOS &gt; 80% DE LAS PERSONAS REGISTRADAS</t>
  </si>
  <si>
    <t xml:space="preserve">PLATAFORMA DE LA ESCUELA VIRTUAL DE NEGOCIOS </t>
  </si>
  <si>
    <t>PONENTES CON TEMAS TEORICOS POCO DIDACTICOS</t>
  </si>
  <si>
    <t>% PERSONAS QUE SE CERTIFICARON</t>
  </si>
  <si>
    <t xml:space="preserve">Programas y eventos  de desarrollo economico implementados </t>
  </si>
  <si>
    <t xml:space="preserve">EVENTOS DESARROLLADOS </t>
  </si>
  <si>
    <t>EVENTOS DE DESARROLLO ECONOMICO DE ALTO IMPACTO CON TASA DE SATISFACCIÓN &gt; A 90%</t>
  </si>
  <si>
    <t xml:space="preserve">MALA PLANEACION DE LOS EVENTOS </t>
  </si>
  <si>
    <t xml:space="preserve">EVENTOS EXITOSOS </t>
  </si>
  <si>
    <t xml:space="preserve">Número de personas beneficiadas con creditos FOJAL </t>
  </si>
  <si>
    <t xml:space="preserve">TRAMITES REALIZADOS </t>
  </si>
  <si>
    <t xml:space="preserve">CREDITOS FOJAL OTORGADOS &gt; 80% </t>
  </si>
  <si>
    <t>GESTION DE CREDITOS DEFICIENTES</t>
  </si>
  <si>
    <t>CREDITOS OTORGADOS</t>
  </si>
  <si>
    <t>A.2 promover y fomentar el desarrollo turístico en el Municipio , cuidando el óptimo y racional aprovechamiento y preservación de los recursos naturales y culturales.</t>
  </si>
  <si>
    <t>Recorridos Guiados gestionados por el departamento de turismo</t>
  </si>
  <si>
    <t>RECORRIDOS GUIADOS GESTIONADOS</t>
  </si>
  <si>
    <t>RECORRIDOS GUIADOS REALIZADOS A LO LARGO DEL AÑO CON BUENA SATISFACCIÓN&gt; 90%</t>
  </si>
  <si>
    <t xml:space="preserve">MALA LOGISTICA DE LOS RECORRIDOS </t>
  </si>
  <si>
    <t xml:space="preserve">SATISFACCIÓN DE LOS TURISTAS </t>
  </si>
  <si>
    <t>A.3 favorecer el desarrollo de relaciones internacionales  en  ámbito, político, cultural, intelectual o economico.</t>
  </si>
  <si>
    <t>Acuerdos de Cooperación Nacionales e Internacionales</t>
  </si>
  <si>
    <t xml:space="preserve">ACUERDOS PROPUESTOS </t>
  </si>
  <si>
    <t>HERMANAMIENTOS NACIONALES E INTERNACIONALES VIGENTES= A PROPUESTOS</t>
  </si>
  <si>
    <t>NULO SEGUIMIENTO A LOS HERMANAMIENTOS VIGENTES</t>
  </si>
  <si>
    <t>ACUERDOS VIGENTES</t>
  </si>
  <si>
    <t>MATRIZ DE INDICADORES DE RESULTADO (MIR)</t>
  </si>
  <si>
    <t>0901</t>
  </si>
  <si>
    <t>CONTRALORIA</t>
  </si>
  <si>
    <t>PLAN MUNICIPAL DE CONTROL INTERNO Y DESARROLLO INSTITUCIONAL</t>
  </si>
  <si>
    <t>090109</t>
  </si>
  <si>
    <t xml:space="preserve">AYUNTAMIENTO DE ZAPOTLANEJO </t>
  </si>
  <si>
    <t xml:space="preserve">GOBIERNO ESTATAL, FEDERAL Y CIUDADANOS </t>
  </si>
  <si>
    <t>impulsar una Gestión Pública de Calidad, en apego a las normas y disposiciones legales aplicables, para contribuir con la transparencia y rendición de cuentas a los ciudadanos.</t>
  </si>
  <si>
    <t>APROVACION EN ESTADO OPTIMO  DE LA SECCION 1.3 REFERENTE AL  CONTROL INTERNO DE LA GUIA CONSULTIVA DE DESEMPEÑO MUNICIPAL</t>
  </si>
  <si>
    <t>PAGINA OFICIAL DEL GOBIERNO DE ZAPOTLANEJO http://zapotlanejo.gob.mx/transparencia/archivos.php?id=35&amp;art=1</t>
  </si>
  <si>
    <t>100% DE APROVACION EN ESTADO OPTIMO LOS INDICADORES</t>
  </si>
  <si>
    <t>MODULO 1 SECCION 3 REFERENTE AL CONTROL INTERNO DE LA GUIA CONSULTIVA PARA EL DESEMPEÑO MUNICIPAL</t>
  </si>
  <si>
    <t xml:space="preserve">FALTA DE DOCUMENTACION O COMPROVACION PARA LE CUMPIMEINTO OPTIMO DE LOS INDICADORES </t>
  </si>
  <si>
    <t>CUMPLIMIENTO</t>
  </si>
  <si>
    <t>Planear, programar, organizar y coordinar las acciones de control, evaluación, vigilancia y fiscalización del correcto uso del patrimonio, su congruencia con el presupuesto de egresos del Municipio, así como el desempeño de los servidores públicos</t>
  </si>
  <si>
    <t>LINEAMIENTOS ESTATALES Y FEDERALES ACATADOS POR PARTE DE LA CONTRALORIA MUNICIPAL</t>
  </si>
  <si>
    <t>MINUTA GENERAL DE CONTRALORIA MUNICIPAL</t>
  </si>
  <si>
    <t>LINEAMIENTOS PROPUESTOS</t>
  </si>
  <si>
    <t xml:space="preserve">REPORTE DIAGNOSTICO EMITIVO POR PARTE DEL ORGANO DE CONTROL </t>
  </si>
  <si>
    <t>OBSERVACIONES REALIZADAS POR EL ORGANO DE CONTROL</t>
  </si>
  <si>
    <t>NO ACATAR LAS DISPOSICIONES NORMATIVAS DE LOS ORGANOS DE CONTROL INTERNO ESTATAL Y FEDERAL</t>
  </si>
  <si>
    <t>LINEAMIENTOS ACATADOS</t>
  </si>
  <si>
    <t>Verificar, comprobar, fiscalizar que la obra pública del municipio cumpla con  las normativas aplicables vigentes, y emitir observaciones y recomendaciones cuando sea el caso que lo amerite, así como coadyuvar a las instituciones homologas a la contraloría ciudadana.</t>
  </si>
  <si>
    <t>SUPERVICION DE LAS AUDITORIAS DE OBRA PUBLICA Y SUS OBSERVACIONES GENERADAS</t>
  </si>
  <si>
    <t xml:space="preserve">PLATAFORMA DE AUDITORIAS </t>
  </si>
  <si>
    <t xml:space="preserve">OBSERVACIONES  REALIZADAS EN AUDITORIAS DE OBRA PUBLICA </t>
  </si>
  <si>
    <t xml:space="preserve">OBSERVACIONES GENERADAS/ OBSERVACIONES RESUELTAS </t>
  </si>
  <si>
    <t>TENER EL 100% DE OBSERVACIONES SUBSANADAS EN LA PLATAFORMA DE AUDITORIAS INTERNAS</t>
  </si>
  <si>
    <t>SEGUIMIENTO AL CUMPLIMIENTO DE LAS OBSERVACIONES</t>
  </si>
  <si>
    <t>OBSERVACIONES SOLVENTADAS</t>
  </si>
  <si>
    <t xml:space="preserve">Planear, implementar, socializar, y supervisar los mecanismos de rendición de cuentas y, en su caso, sancionar a los servidores públicos que incumplan con las normativas de la materia.
</t>
  </si>
  <si>
    <t>SUPERVISION DE LAS ACCIONES  DE CUMPLIMIENTO  GENERADAS POR CONTROL INTERNO</t>
  </si>
  <si>
    <t>SEGUIMIENTO A LA MIR DE CONTRALORIA</t>
  </si>
  <si>
    <t>% DE CUMPLIMIENTO ESTIPULADO</t>
  </si>
  <si>
    <t>CUMPLIMIENTO A LAS METAS DE DETERMINADAS ACCIONES PROPUESTAS POR EL ÁREA DE CONTROL INTERNO</t>
  </si>
  <si>
    <t>MIR CONTRALORIA</t>
  </si>
  <si>
    <t>FALTA DE SEGUIMIENTO O DISPOSICION PARA CUMPLIR CON LAS METAS ESTABLECIDAS</t>
  </si>
  <si>
    <t>Desarrollar estrategias trascendentales para evitar al maximo los casos de corrupcion dentro del Ayuntamiento.</t>
  </si>
  <si>
    <t>Contar con un Reglamento Municipal de Combate a la Corrupción vigente</t>
  </si>
  <si>
    <t>ACTUALIZACION DEL REGLAMENTO MUNICIPAL DE COMBATE A LA CORRUPCION</t>
  </si>
  <si>
    <t>REGLAMENTO ACTUALIZADO</t>
  </si>
  <si>
    <t>SISTEMA DE INFORMACIÓN MUNICIPAL</t>
  </si>
  <si>
    <t>FALTA DE DISPOSICION PARA VALIDAR EL REGLAMENTO</t>
  </si>
  <si>
    <t>Seguimiento a sanciones por  responsabilidades Administrativas</t>
  </si>
  <si>
    <t>SEGUIMIENTO A LAS SANCIONES GENERADAS</t>
  </si>
  <si>
    <t>SANCIONES GENERADAS</t>
  </si>
  <si>
    <t>SANCIONES GENERADAS MAS NO APLICADAS, ASÍ COMO CONTROL DE LAS MISMAS</t>
  </si>
  <si>
    <t>SANCIONES FINIQUITADAS</t>
  </si>
  <si>
    <t>seguimiento al análisis de riesgos institucionales por medio de la metodologia COSO II</t>
  </si>
  <si>
    <t>RIESGOS INSTAURADOS</t>
  </si>
  <si>
    <t>SEGUIMIENTO A LOS RIESGOS INSTITUCIONALES</t>
  </si>
  <si>
    <t>PLATAFORMA DE CONSEJOS MUNICIPALES</t>
  </si>
  <si>
    <t>RIESGOS NO CUBIERTOS O MALA ESTRATEGIA PARA EVITARLOS</t>
  </si>
  <si>
    <t>RIESGOS CON SEGUIMIENTO PERIODICO</t>
  </si>
  <si>
    <t>Fomentar dentro de la institucion la rendicion de cuentas en apego a las Leyes aplicables</t>
  </si>
  <si>
    <t>Declaraciones Patrimoniales y de Conflicto de Interés realizadas por los sujetos obligados</t>
  </si>
  <si>
    <t xml:space="preserve">NUMERO DE DELCARACIONES OBLIGADAS A REALIZARSE </t>
  </si>
  <si>
    <t>DECLARACIONES REALIZADAS</t>
  </si>
  <si>
    <t>SIME Y PLATAFORMA DIGITAL DE DECLARACIONES</t>
  </si>
  <si>
    <t xml:space="preserve">SERVIDORES PUBLICOS DADOS DE BAJA, QUE NO SIGUIERON EL PROTOCOLO ADECUADO PARA FINIQUITAR SUS OBLIGACIONES </t>
  </si>
  <si>
    <t>NUMERO DE DECLARACIONES REALIZADAS</t>
  </si>
  <si>
    <t>Auditorías en Materia Financiera y Obra Pública</t>
  </si>
  <si>
    <t>AUDITORIAS PROGRAMADAS</t>
  </si>
  <si>
    <t>AUDITORIAS REALIZADAS</t>
  </si>
  <si>
    <t>SIME Y PLATAFORMA DE AUDITORIAS</t>
  </si>
  <si>
    <t xml:space="preserve">FALTA DE AUDITORES </t>
  </si>
  <si>
    <t>Contralorías sociales instauradas</t>
  </si>
  <si>
    <t>CONTRALORIAS SOCIALES REQUERIDAS</t>
  </si>
  <si>
    <t>CONTRALORIAS SOCIALES INSTAURADAS</t>
  </si>
  <si>
    <t>FALTA DE DISPOSICION DE LA CIUDADANIA PARA FORMAR PARTE DE LAS CONTRALORIAS SOCIALES</t>
  </si>
  <si>
    <t>COTRALORIAS SOCIALES INSTAURADAS</t>
  </si>
  <si>
    <t>Procesos entrega-recepción (intermedias y de Administración)</t>
  </si>
  <si>
    <t xml:space="preserve">PROCESOS DE ENTREGA RECEPCION OBLIGADOS A REALIZARSE </t>
  </si>
  <si>
    <t>PROCESOS DE ENTREGA RECEPCION REALIZADOS</t>
  </si>
  <si>
    <t>FALTA DE DISPOSICION DE LAS PARTES SALIENTES PARA REALIZAR ESTE PROCEDIMIENTO</t>
  </si>
  <si>
    <t>Fomentar un mecanismo eficiente  de etica,conducta y conflicto de interes</t>
  </si>
  <si>
    <t xml:space="preserve">	 Acuerdos de desarrollo generados por el Consejo de Ética, Conducta y Conflicto de Interés</t>
  </si>
  <si>
    <t>Programa municipal de consejos y comites municipales</t>
  </si>
  <si>
    <t xml:space="preserve">NUMERO DE ACUERDOS </t>
  </si>
  <si>
    <t>% DE CUMPLIMIENTO A LOS ACUERDOS MUNICIPALES</t>
  </si>
  <si>
    <t xml:space="preserve">FALTA DE LIDERAZGO POR PARTE DEL SECRETARIO DEL CONSEJO PARA UE ESTE SESIONE PERIODICAMENTE </t>
  </si>
  <si>
    <t>% DE  CUMPLIMIENTO A LOS ACUERDOS</t>
  </si>
  <si>
    <t xml:space="preserve">CUBIERTO </t>
  </si>
  <si>
    <t>PROCESO</t>
  </si>
  <si>
    <t xml:space="preserve">INVERSION  POR CENTRO DE COSTOS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</si>
  <si>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</si>
  <si>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</si>
  <si>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</si>
  <si>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</si>
  <si>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</si>
  <si>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</si>
  <si>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</si>
  <si>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</si>
  <si>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</si>
  <si>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</si>
  <si>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</si>
  <si>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</si>
  <si>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PARTIDA</t>
  </si>
  <si>
    <t>ÁREAS QUE LO INTEGRAN</t>
  </si>
  <si>
    <t>02</t>
  </si>
  <si>
    <t>pleno</t>
  </si>
  <si>
    <t>03</t>
  </si>
  <si>
    <t>presidencia</t>
  </si>
  <si>
    <t>04</t>
  </si>
  <si>
    <t>GESTION DE LA CIUDAD</t>
  </si>
  <si>
    <t>secretaria particular</t>
  </si>
  <si>
    <t>05</t>
  </si>
  <si>
    <t>SERVICIOS MUNICIPALES</t>
  </si>
  <si>
    <t>asuntos del interior</t>
  </si>
  <si>
    <t>06</t>
  </si>
  <si>
    <t>SEGURIDAD PUBLICA</t>
  </si>
  <si>
    <t>comunicación social</t>
  </si>
  <si>
    <t>07</t>
  </si>
  <si>
    <t>transparencia</t>
  </si>
  <si>
    <t>08</t>
  </si>
  <si>
    <t>09</t>
  </si>
  <si>
    <t>10</t>
  </si>
  <si>
    <t>GASTO MENSUAL</t>
  </si>
  <si>
    <t>11</t>
  </si>
  <si>
    <t>DESARROLLO ECONOMICO</t>
  </si>
  <si>
    <t>PRESUPUESTO ASIGNAGO</t>
  </si>
  <si>
    <t>12</t>
  </si>
  <si>
    <t>ADM E INNOVACION</t>
  </si>
  <si>
    <t>TOTAL GASTADO EN PROGRAMAS OPERATIVOS</t>
  </si>
  <si>
    <t>TOTAL GASTADO EN PROGRAMAS ESPECIALES</t>
  </si>
  <si>
    <t>GASTO TOTAL ACTUAL</t>
  </si>
  <si>
    <t>TECHO FINANCIERO</t>
  </si>
  <si>
    <t>REGISTRO CIVIL Y ARCHIVO</t>
  </si>
  <si>
    <t>MATATLAN</t>
  </si>
  <si>
    <t>LA LAJA</t>
  </si>
  <si>
    <t>SANTA FE</t>
  </si>
  <si>
    <t>LA PURISIMA</t>
  </si>
  <si>
    <t>EL SAUCILLO</t>
  </si>
  <si>
    <t>SAN JOSE DE LAS FLORES</t>
  </si>
  <si>
    <t>UNIDAD DE CEMENTERIOS</t>
  </si>
  <si>
    <t>PROTECCIÓN CIVIL</t>
  </si>
  <si>
    <t>DIRECCION DE CONTBILIDAD /INGRESOS/EGRESOS</t>
  </si>
  <si>
    <t>CATASTRO</t>
  </si>
  <si>
    <t xml:space="preserve">APREMIOS </t>
  </si>
  <si>
    <t>INFORMATICA</t>
  </si>
  <si>
    <t xml:space="preserve">GESTIÓN DE LA CIUDAD </t>
  </si>
  <si>
    <t>MAQUINARIA</t>
  </si>
  <si>
    <t xml:space="preserve">ORDENAMIENTO TERRITORIAL </t>
  </si>
  <si>
    <t xml:space="preserve">DESARROLLO RURAL </t>
  </si>
  <si>
    <t>OBRAS PÚBLICAS/GESTION DE OBRA /DEPARTAMENTO DE PROYECTOS/COSTO DE OBRAS PUBLICAS/ADMINISTRACION DE OBRA PUBLICA/SUPERVISION DE OBRAS</t>
  </si>
  <si>
    <t>ECOLOGÍA Y PROTECCIÓN AMBIENTAL</t>
  </si>
  <si>
    <t>SERVICIOS MUNICIPALES /ALMACEN GENERAL</t>
  </si>
  <si>
    <t>ASEO PÚBLICO</t>
  </si>
  <si>
    <t>AGUA POTABLE</t>
  </si>
  <si>
    <t>ESPACIOS DEPORTIVOS PARQUES Y JARDINES</t>
  </si>
  <si>
    <t>RASTRO MUNICIPAL / INSPECCION A ALIMENTOS SANIDAD E HIGIENE</t>
  </si>
  <si>
    <t>ALUMBRADO PÚBLICO</t>
  </si>
  <si>
    <t>RECUPERACIÓN DE IMAGEN URBANA/ MANTENIMIENTO GENERAL</t>
  </si>
  <si>
    <t>MANTENIMIENMTO VEHICULAR</t>
  </si>
  <si>
    <t>PTAR</t>
  </si>
  <si>
    <t>CONTROL CANINO</t>
  </si>
  <si>
    <t>MOVILIDAD Y TRANSPORTE</t>
  </si>
  <si>
    <t>CONSTRUCCION DE LA C</t>
  </si>
  <si>
    <t>CONSTRUCCION DE LA COMUNIDAD /PARQUE PUENTE DE CALDERON</t>
  </si>
  <si>
    <t xml:space="preserve">EDUCACION CDC BELLAVISTA </t>
  </si>
  <si>
    <t>CULTURA/MURALISMO/LOGISTICA</t>
  </si>
  <si>
    <t>DEPORTES Y RECREACION/ PEOMOCION DEPORTIVA</t>
  </si>
  <si>
    <t>PARTICIPACION CIUDADANA</t>
  </si>
  <si>
    <t>INSTITUTO DE LA MUJER</t>
  </si>
  <si>
    <t>INSTITUTO DE LA JUVENTUD</t>
  </si>
  <si>
    <t>SINDICATURA Y COORDINACION DICIPLINARIA</t>
  </si>
  <si>
    <t>DIRECCION JURIDICA/JUIRIDICA Y COMISION DE HONOR Y JUSTICIA/JURIDICO LABORAL</t>
  </si>
  <si>
    <t>JUZGADOS MUNICIPALES</t>
  </si>
  <si>
    <t>PREVENCION SOCIAL Y ADICCIONES</t>
  </si>
  <si>
    <t>CONTRALORIA CIUDADANA/UNIDAD DE CONTROL INTERNO/CONTROL DE INFORMACIÓN E INFORMATICA</t>
  </si>
  <si>
    <t>AUDITORIA FINANCIERA</t>
  </si>
  <si>
    <t>AUDITORIA DE OBRA PÚBLICA</t>
  </si>
  <si>
    <t>GESTION DE CALIDAD Y DESARROLLO INSTITUCIONAL/SISTEMA DE INFORMACIÓN /GESTION DE FONDOS SECTORIALES/DIRECCION DE PROYECTOS ESTRATEGICO</t>
  </si>
  <si>
    <t>UNIDAD MULTIFUNCIONAL DE VERIFICACION</t>
  </si>
  <si>
    <t>PADRÓN Y LICENCIAS</t>
  </si>
  <si>
    <t>DESARROLLO ECONOMICO Y COMBATE A LA DESIGUALDAD</t>
  </si>
  <si>
    <t>CAPACITACION Y DESARROLLO ECONIMICO/DEPARTAMENTO DE PROMOCION ECONOMICA</t>
  </si>
  <si>
    <t>DEPARTAMENTO DE TURISMO</t>
  </si>
  <si>
    <t>RELACIONES INTERNACIONALES Y EMPRENDIMIENTO</t>
  </si>
  <si>
    <t xml:space="preserve">ADMINISTRACIÓN E INNOVACIÓN GUBERNAMENTAL </t>
  </si>
  <si>
    <t xml:space="preserve">DEPARTAMENTO DE PATRIMONIO </t>
  </si>
  <si>
    <t>RECURSOS HUMANOS/ MANTENIMIENTO INTERNO</t>
  </si>
  <si>
    <t>PROVEEDURÍA / COMPRAS GENERALES/ UNIDAD DE ABASTOS Y SUMINISTROS</t>
  </si>
  <si>
    <t>SERVICIOS MEDICOS MUNICIPALES</t>
  </si>
  <si>
    <t>PROGRAMAS ESTRATEGICOS</t>
  </si>
  <si>
    <t>DESCRIPCION</t>
  </si>
  <si>
    <t xml:space="preserve">OCTUBRE 2025 - SEPTIEMBRE 2026	</t>
  </si>
  <si>
    <t xml:space="preserve">PROGRAMA EDURUTAS ZAPOTLANEJO </t>
  </si>
  <si>
    <t>SEGUIMIENTO DE LOS PROGRAMAS ESPECIALES</t>
  </si>
  <si>
    <t>comprobar que los estudiantes beneficiados realmente utilizan el transporte público en el municipio y cumplen con los requisitos de elegibilidad establecidos por el ayuntamiento.</t>
  </si>
  <si>
    <t>COMPROBAR QUE LOS ESTUDIANTES BENEFICIADOS REALMENTE UTILIZAN EL TRANSPORTE PÚBLICO EN EL MUNICIPIO Y CUMPLEN CON LOS REQUISITOS DE ELEGIBILIDAD ESTABLECIDOS POR EL AYUNTAMIENTO.</t>
  </si>
  <si>
    <t>ACCESIBILIDAD Y COBERTURA/TRANSPARENCIA Y CONTROL/ IMPACTO EN LA PERMANECIA ESCOLAR/SOSTENIBILIDAD FINANCIERA/COMUNICACIÓN Y PARTICIPACION.</t>
  </si>
  <si>
    <t>ULTIMA ACTUALIZACIÓN</t>
  </si>
  <si>
    <t>PROGRAMAS SOCIALES, DEPARTAMENTO DE EDUCACIÓN,INSTITUTO DE LA JUVENTUD, INSTITUTO DE IGUALDAD SUSTANTIVA, DEPARTAMENTO DE DESARROLLO ECONOMICO, DEPARTAMENTO DE DESARROLLO RURAL.</t>
  </si>
  <si>
    <t xml:space="preserve">GOBIERNO DE ZAPOTLANEJO </t>
  </si>
  <si>
    <t>ACCIONES</t>
  </si>
  <si>
    <t>BENEFICIAR  A UN PROMEDIO DE  900 ESTUDIANTES CON APOYO DE TRANSPORTE GRATIS EN TODO SU CICLO ESCOLAR</t>
  </si>
  <si>
    <t>PROMEDIO ACTUAL DE ALUMNOS BENEFICIADOS DIARIAMENTE CON EL PROGRAMA</t>
  </si>
  <si>
    <t>ESPECTATIVA PROMEDIO DE ALUMNOS BENEFICIADOS EN ESTE PERIODO</t>
  </si>
  <si>
    <t>ALUMNOS BENEFICIADOS CONSTANTEMENTE  EN ESTE PERIODO ADMINISTRATIVO</t>
  </si>
  <si>
    <t>PROGRAMA REACTIVACION DEL CAMPO 2025</t>
  </si>
  <si>
    <t>PROGRAMAS SOCIALES ENFOCADOS A PROMOVER EL DESARROLLO SOCIAL DE LOS HABITANTES DE ZAPOTLANEJO</t>
  </si>
  <si>
    <t xml:space="preserve">FAMILIAS BENEFICIADAS CON ALGUN TIPO DE APOYO </t>
  </si>
  <si>
    <t>ESPECTATIVA PROMEDIO DE FAMILIAS BENEFICIADAS</t>
  </si>
  <si>
    <t>PROMEDIO ACTUAL DE FAMILAS BENEFICIADAS</t>
  </si>
  <si>
    <t xml:space="preserve">BENEFICIAR  A UN PROMEDIO DE  100 BENEFICIADOS </t>
  </si>
  <si>
    <t>MALA DISPERCION DE APOYOS A BENEFICIADOS/FALTA DE CAMPAÑAS DE  DIFUSION DE APOYOS/ACCESIBILIDAD Y COBERTURA/SOSTENIBILIDAD FINANCIERA.</t>
  </si>
  <si>
    <t>PUBLICACION EN EL APARTADO CIMTRA  (PROGRAMAS SOCIALES MUNICIPALES Y ESTATALES APLICADOS)</t>
  </si>
  <si>
    <t>PROGRAMAS ENFOCADOS AL EMPODERAMIENTO DE LA MUJER POR MEDIO DE LA IGUALDAD SUSTANTIVA</t>
  </si>
  <si>
    <t xml:space="preserve">MUJERES BENEFICIADAS CON ALGUN TIPO DE APOYO </t>
  </si>
  <si>
    <t>MUJERES  DEL MUNICIPIO BENEFICIADAS CON EL PROGRAMA</t>
  </si>
  <si>
    <t xml:space="preserve">TOTAL DE MUJERES BENEFICIADAS AL TERMINO DEL AÑO </t>
  </si>
  <si>
    <t>PROGRAMAS QUE PROMUEVAN EL DESARROLLO ECONOMICO ENTRE LOS HABITANTES DEL MUNICIPIO</t>
  </si>
  <si>
    <t>COMERCIANTES BENEFICIADOS CON ALGUN TIPO DE APOYO QUE PROMUEVA EL DESARROLLO ECONOMICO DEL MUNICIPIO</t>
  </si>
  <si>
    <t>COMERCIANTES  DEL MUNICIPIO BENEFICIADOS CON EL PROGRAMA</t>
  </si>
  <si>
    <t>TOTAL DE COMERCIANTES BENEFICIADOS ESTE PERIODO ADMINISTRATIVO</t>
  </si>
  <si>
    <t>BENEFICIAR A MÁS DE 500 MUJERES  DEL MUNICIPIO CON ALGUN TIPO DE CARENCIA SOCIAL</t>
  </si>
  <si>
    <t>PROGRAMAS SOCIALES ENFOCADOS A EMPODERAR A LAS MUJERES DEL MUNICIPIO BUSCANDO BENEFICIAR A MÁS DE 500 PERSONAS.</t>
  </si>
  <si>
    <t>BENEFICIAR A UN APROXIMADO DE 40 COMERCIANTES Y SUS FAMILIAS CON ALGUN TIPO DE APOYO QUE PROMUEVA EL DESARROLLO ECONOMICO.</t>
  </si>
  <si>
    <t>PROGRAMAS SOCIALES ENFOCADOS A APOYAR A COMERCIANTES DEL MUNICIPIO.</t>
  </si>
  <si>
    <t>INEGI/SECRETARIA DE EDUCACION JALISCO</t>
  </si>
  <si>
    <t xml:space="preserve">TASA DE DESERCIÓN ESCOLAR A NIVEL MEDIA SUPERIOR EN ZAPOTLANEJO </t>
  </si>
  <si>
    <t xml:space="preserve">TASA ESTIMADA DE DESERSIÓN ESCOLAR A NIVEL MEDIA SUPERIOR </t>
  </si>
  <si>
    <t>TASA DE DECERSION ESCOLAR A NIVEL MEDIO SUPERIOR EN EL 2025</t>
  </si>
  <si>
    <t xml:space="preserve">TENER UNA TASA DE DESERCION ESCOLAR MENOR O IGUAL AL 8% </t>
  </si>
  <si>
    <t>EL MUNICIPIO CUENTA CON UNA TASA DE DESERCION ESCOLAR A NIVEL MEDIO SUPERIOR MENOR O IGUAL AL 8% EN COMPARATIVA AL ESTADO</t>
  </si>
  <si>
    <t>ENOE 2025</t>
  </si>
  <si>
    <t>PROMEDIO ESTATAL POBLACIÓN NO ECONOMINCAMENTE ACTIVA EN JALISCO PARA EL 2025</t>
  </si>
  <si>
    <t>CONTAR CON UN PORCENTAJE DE  POBLACION ECONOMICAMENTE NO ACTIVA MENOR ENTRE EL MUNICIPIO Y EL ESTADO DE JALISCO</t>
  </si>
  <si>
    <t>POBLACION ECONOMICAMENTE NO ACTIVA DE ZAPOTLANEJO EN EL ULTIMO PERIODO</t>
  </si>
  <si>
    <t>EL MUNCIPIO CUENTA CON UN PROMEDIO DE POBLACION ECONOMICAMENTE NO ACTIVA MENOR AL 42.1 %</t>
  </si>
  <si>
    <t>CONTAR CON UN PROMEDIO DE POBLACION ECONOMICAMENTE NO ACTIVA  MENOR AL PROMEDIO ESTATAL</t>
  </si>
  <si>
    <t>INDICE DE MARGINACIÓN MUNICIPAL</t>
  </si>
  <si>
    <t>CONAPO</t>
  </si>
  <si>
    <t>INDEFINIDA</t>
  </si>
  <si>
    <t>BAJO</t>
  </si>
  <si>
    <t xml:space="preserve">PROYECCION DE INDICE DE MARGINACION MUNICIPAL </t>
  </si>
  <si>
    <t>MUY BAJO</t>
  </si>
  <si>
    <t>INDICE DE MARGINACION MUNICIPAL ACTUAL</t>
  </si>
  <si>
    <t xml:space="preserve">CONTAR CON UN INDICE DE MARGINACION EN EL MUNICIPIO BAJO </t>
  </si>
  <si>
    <t>QUE EL MUNICIPIO DE ZAPOTLANEJO CUENTE CON UN INDICE DE MARGINACIÓN BAJO</t>
  </si>
  <si>
    <t>SECRETARIA DE ECONOMIA</t>
  </si>
  <si>
    <t>MODERADA</t>
  </si>
  <si>
    <t xml:space="preserve"> CALIDAD DE VIDA EN ZAPOTLANEJO PREVISTA EN LA ACTUALDAD SEGÚN INFORMACION DE LA SECRETARIA DE ECONOMIA</t>
  </si>
  <si>
    <t>CALIDAD DE VIDA ACTUAL EN EL MUNICIPIO DE ZAPOTLANEJO</t>
  </si>
  <si>
    <t>BUENA/MODERADA</t>
  </si>
  <si>
    <t>EJE 3 SALUD BIENESTAR EDUCACIÓN Y COHESIÓN SOCIAL DE ZAPOTLANEJO</t>
  </si>
  <si>
    <t>JALISCO ECONOMIA QUE AVANZA</t>
  </si>
  <si>
    <t>ECONOMIA GLOBAL Y TRABAJO</t>
  </si>
  <si>
    <t xml:space="preserve">CONTAR CON UN INDICE DE MARGINACION EN EL MUNICIPIO MUY BAJO </t>
  </si>
  <si>
    <t>QUE EL MUNICIPIO DE ZAPOTLANEJO CUENTE CON UN INDICE DE MARGINACIÓN MUY BAJO</t>
  </si>
  <si>
    <t xml:space="preserve">ENOE </t>
  </si>
  <si>
    <t>EL MUNCIPIO CUENTA CON UN PROMEDIO DE POBLACION ECONOMICAMENTE NO ACTIVA MENOR O IGUAL  AL 40%</t>
  </si>
  <si>
    <t>BENEFICIAR A MÁS DE 600 MUJERES  DEL MUNICIPIO CON ALGUN TIPO DE CARENCIA SOCIAL</t>
  </si>
  <si>
    <t>PROGRAMAS SOCIALES ENFOCADOS A EMPODERAR A LAS MUJERES DEL MUNICIPIO BUSCANDO BENEFICIAR A MÁS DE 600 PERSONAS.</t>
  </si>
  <si>
    <t>BENEFICIAR A MÁS DE 1200 HABITANTES DEL MUNICIPIO CON ALGUN TIPO APOYO AL SECTOR AGRICOLA O GANADERO</t>
  </si>
  <si>
    <t xml:space="preserve">PROGRAMAS SOCIALES ENFOCADOS AL DESARROLLO ECONOMICO RURAL QUE  HA BENEFICIADO A MÁS DE 1200 HABITANTES QUE SE DEDICAN A LA PRODUCTIVIDAD DEL CAMPO </t>
  </si>
  <si>
    <t xml:space="preserve">BENEFICIAR  A UN PROMEDIO DE  105 BENEFICIADOS </t>
  </si>
  <si>
    <t>BENEFICIAR  A UN PROMEDIO DE  1000 ESTUDIANTES CON APOYO DE TRANSPORTE GRATIS EN TODO SU CICLO ESCOLAR</t>
  </si>
  <si>
    <t>RESULTADOS</t>
  </si>
  <si>
    <t>ULTIMA ACTUALIZACION</t>
  </si>
  <si>
    <t>GOBIERNO DE ZAPOTLANEJO</t>
  </si>
  <si>
    <t>PRESIDENCIA,SECRETARIA PARTICULAR,JEFATURA DE ASUNTOS DEL INTERIOR
DIRECCIÓN DE GESTIÓN DE PROYECTOS FEDERALES Y ESTATALES,DIRECCIÓN DE TRANSPARENCIA,DIRECCIÓN DE COMUNICACIÓN,UNIDAD DE RELACIONES PUBLICAS,UNIDAD DE IMAGEN INSTITUCIONAL</t>
  </si>
  <si>
    <t>S/R</t>
  </si>
  <si>
    <t>SINDICATURA,DIRECCIÓN JURÍDICA MUNICIPAL,JEFATURA JURÍDICO LABORAL,UNIDAD ,JURIDICO LABORAL,UNIDAD DE DERECHOS HUMANOS,SUBDIRECCION JURIDICA DE HONOR Y JUSTICIA,JUZGADO MUNICIPAL,UNIDAD DE PREVENCIÓN SOCIAL,DIRECCION JURIDICA DE SEGURIDAD</t>
  </si>
  <si>
    <t>SESNSP</t>
  </si>
  <si>
    <t xml:space="preserve">TENDENCIA TOTAL DE DELITOS DENUNCIADOS ESTE PERIODO EN COMPARATIVA CON EL AÑO ANTERIOR </t>
  </si>
  <si>
    <t>TASA DE DISMINUCION EN CUESTION DE  DELITOS DENUNCIADOS</t>
  </si>
  <si>
    <t>TASA DISMINUIDA EN EL PERIODO EN CURSO</t>
  </si>
  <si>
    <t>S/D</t>
  </si>
  <si>
    <t>SECRETARIA GENERAL,DELEGACIÓN MATATLAN,DELEGACIÓN LA LAJA,DELEGACIÓN SANTA FE,
DELEGACIÓN LA PURISIMA,DELEGACIÓN EL SAUCILLO,DELEGACIÓN SAN JOSÉ DE LAS FLORES,DIRECCIÓN DE REGISTRO CIVIL,JEFATURA DE ARCHIVO MUNICIPAL
JEFATURA DE INSPECCIÓN Y VIGILANCIA,JEFATURA DE MEDIO AMBIENTE,JEFATURA DE CEMENTERIOS.</t>
  </si>
  <si>
    <t>ENTORNO SEGURO Y ORDENADO</t>
  </si>
  <si>
    <t>JALISCO CUIDA SU TIERRA</t>
  </si>
  <si>
    <t>EJE 1 . JUSTICIA SEGURIDAD Y PAZ SOCIAL</t>
  </si>
  <si>
    <t>OBJETIVO 11. CIUDADES Y COMUNIDADES SOSTENIBLES</t>
  </si>
  <si>
    <t>REPUBLICA SEGURA Y CON JUSTICIA</t>
  </si>
  <si>
    <t>GARANTIZAR ESPACIOS PÚBLICOS FUNCIONALES, SEGUROS Y DIGNOS PARA TODOS LOS CIUDADANOS</t>
  </si>
  <si>
    <t>EFICIENCIA DEL PROGRAMA 360 ENFOCADO A LA PREVENCION DE RIESGOS</t>
  </si>
  <si>
    <t>GRADO DE EFICIENCIA ESPERADO  DEL PROGRAMA</t>
  </si>
  <si>
    <t>METAS CUMPLIDAS EN EL PROGRAMA OPERATIVO DE PROTECCION CIVIL</t>
  </si>
  <si>
    <t>RIESTOS ATENDIDOS DE MANERA ANORMAL A LO PRONOSTICADO ANUALMENTE</t>
  </si>
  <si>
    <t>EFICIENCIA ACTUAL DEL PROGRAMA</t>
  </si>
  <si>
    <t xml:space="preserve">CONTAR CON UN INSTRUMENTO DE PLANEACION ACTUALIZADO </t>
  </si>
  <si>
    <t>SE CUENTA CON UN PLAN DE RIESGOS MUNICIPAL ACTUALIZADO</t>
  </si>
  <si>
    <t>GACETA MUNICIPAL</t>
  </si>
  <si>
    <t>CONTAR CON UN INSTRUMENTO ACTUALIZADO</t>
  </si>
  <si>
    <t>SE CUENTA CON UN INSTRUMENTO ACTUALIZADO EN MATERIA DE PREVENCION DE RIESGOS</t>
  </si>
  <si>
    <t>ESTATUS DEL INSTRUMENTO DE PREVENCION DE RIESGOS</t>
  </si>
  <si>
    <t>PUBLICADO EN LA GACETA MUNICIPAL</t>
  </si>
  <si>
    <t>FALTA DE SEGUIMIENTO A SU PROTOCOLO DE PREVENCION DE RIESGOS</t>
  </si>
  <si>
    <t>EN PROCESO</t>
  </si>
  <si>
    <t>EN EL PERIODO EN CURSO SE CUENTA CON UN INSTRUMENTO ACTUALIZADO EN MATERIA DE PREVNECION DE RIESGOS</t>
  </si>
  <si>
    <t>OPERTIVOS PARA SALVAGUARDAR LA VIDA E INTEGRIDAD DE LAS PERSONAS</t>
  </si>
  <si>
    <t>OPERATIVOS PREVENTIVOS REALIZADOS A LO LARGO DEL AÑO</t>
  </si>
  <si>
    <t>AVANCE A LA META DE OPERATIVOS PREVENTIVOS ESPECIFICA A ESTE RUBRO</t>
  </si>
  <si>
    <t>EFICIENCIA DEL PROGRAMA DE CAPACITACION EN MATERIA DE PROTECCION CIVIL</t>
  </si>
  <si>
    <t>PORCENTAJE DE AVANCE A LA META DE CPACITACIONES EN MATERIA DE PROTECCION CIVIL IMPARTIDO A LA CIUDADANIA</t>
  </si>
  <si>
    <t>DICTAMENES DE PROTECCION CIVIL REALIZADOS A LO LARGO DEL PERIODO E TURNO</t>
  </si>
  <si>
    <t>DICTAMENES REALIZADOS</t>
  </si>
  <si>
    <t>TOTAL DE DICTAMENES REALIZADOS A LO LARGO DEL AÑO</t>
  </si>
  <si>
    <t>FALTA DE VOLUNTADES ENTRE SOCIEDAD Y GOBIERNO PARA EFECTUAR ESTE TIPO DE ACCIONES</t>
  </si>
  <si>
    <t>SEGUIMIENTO DE ACCIONES DE MITIGACION DE RIESTOS ATENDIDAS POR PARTE DE PROTECCION CIVIL Y BOMBEROS</t>
  </si>
  <si>
    <t>ACCIONES DE MITIGACION DE RIESGOS ATENIDAS</t>
  </si>
  <si>
    <t>TOTAL DE ACCIONES ATENDIDAS EN ATERIA DE PREVENCION DE RIESGOS</t>
  </si>
  <si>
    <t>CAPACITACITACIONES A POBLACION EN GENERAL EN MATERIA DE PROTECCION CIVIL Y PREVENCION DE RIESGOS</t>
  </si>
  <si>
    <t>CAPACITACIONES REALIZADAS EN MATERIA DE PREVENCION DE RIESGOS</t>
  </si>
  <si>
    <t>COMISARIA GENERAL DE LA SEGURIDAD CIUDADANA,UNIDAD DE SEGURIDAD VIAL,UNIDAD DE SEGURIDAD PUBLICA,DIRECCIÓN DE PROTECCIÓN CIVIL Y BOMBEROS</t>
  </si>
  <si>
    <t>PROTECCION CIVIL</t>
  </si>
  <si>
    <t>,DIRECCIÓN DE PROTECCIÓN CIVIL Y BOMBEROS</t>
  </si>
  <si>
    <t>GABINETE,JEFATURA DE GESTIÓN DE CALIDAD,JEFATURA DE VINCULACION METROPOLITANA</t>
  </si>
  <si>
    <t>PORCENTAJE DE PROGRAMAS MUNICIPALES CON EVALUACIÓN DE RESULTADOS PUBLICADA Y ACCESIBLE A LA CIUDADANÍA.</t>
  </si>
  <si>
    <t>PAGINA OFICIAL DE GOBIERNO</t>
  </si>
  <si>
    <t>% DE PROGRAMAS EVALUADOS</t>
  </si>
  <si>
    <t>PERIODO DE EVALUACION (RESULTADOS PREVISOS EN MARZO 2026)</t>
  </si>
  <si>
    <t>% PROGRAMAS EVALUADOS</t>
  </si>
  <si>
    <t xml:space="preserve">PORCENTAJE DE PROGRAMAS EVALUADOS </t>
  </si>
  <si>
    <t>SEGUIMIENTO DE LAS MIRS Y POAS ASI COMO SU EVALUACION</t>
  </si>
  <si>
    <t xml:space="preserve">FALTA DE SEGUIMIENTO DE LOS PROGRAMAS DATOS INCOMPLETOS </t>
  </si>
  <si>
    <t>% CUMPLIMIENTO  DE ACTUALIZACION DE  LAS HERRAMIENTAS DE PLANEACION</t>
  </si>
  <si>
    <t>% SEGUIMIENTO DE ACCIONES DEL SM</t>
  </si>
  <si>
    <t>30/JUNIO/2026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</si>
</sst>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"/>
  </numFmts>
  <fonts count="57">
    <font>
      <sz val="12"/>
      <color theme="1"/>
      <name val="Calibri"/>
      <scheme val="minor"/>
    </font>
    <font>
      <b/>
      <sz val="18"/>
      <color theme="1"/>
      <name val="Times New Roman"/>
      <family val="1"/>
    </font>
    <font>
      <sz val="12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4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rgb="FF001D35"/>
      <name val="&quot;Google Sans&quot;"/>
    </font>
    <font>
      <b/>
      <u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sz val="12"/>
      <color rgb="FF000000"/>
      <name val="Calibri"/>
      <family val="2"/>
    </font>
    <font>
      <b/>
      <u/>
      <sz val="12"/>
      <color theme="1"/>
      <name val="Calibri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</font>
    <font>
      <sz val="10"/>
      <color theme="1"/>
      <name val="Arial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i/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12"/>
      <color rgb="FFFF0000"/>
      <name val="Calibri"/>
      <family val="2"/>
    </font>
    <font>
      <u/>
      <sz val="12"/>
      <color theme="1"/>
      <name val="Calibri"/>
      <family val="2"/>
    </font>
    <font>
      <i/>
      <sz val="10"/>
      <color theme="1"/>
      <name val="Arial"/>
      <family val="2"/>
    </font>
    <font>
      <sz val="10"/>
      <color rgb="FFC00000"/>
      <name val="Arial"/>
      <family val="2"/>
    </font>
    <font>
      <u/>
      <sz val="12"/>
      <color theme="1"/>
      <name val="Calibri"/>
      <family val="2"/>
    </font>
    <font>
      <b/>
      <sz val="72"/>
      <color theme="1"/>
      <name val="Calibri"/>
      <family val="2"/>
    </font>
    <font>
      <sz val="14"/>
      <color rgb="FF000000"/>
      <name val="-webkit-standard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28"/>
      <color theme="1"/>
      <name val="Arial"/>
      <family val="2"/>
    </font>
    <font>
      <sz val="28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u/>
      <sz val="18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i/>
      <u/>
      <sz val="18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24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941651"/>
        <bgColor rgb="FF941651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A8D08D"/>
        <bgColor rgb="FFA8D08D"/>
      </patternFill>
    </fill>
    <fill>
      <patternFill patternType="solid">
        <fgColor theme="5"/>
        <bgColor theme="5"/>
      </patternFill>
    </fill>
    <fill>
      <patternFill patternType="solid">
        <fgColor rgb="FFC55A11"/>
        <bgColor rgb="FFC55A11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4B083"/>
        <bgColor rgb="FFF4B083"/>
      </patternFill>
    </fill>
    <fill>
      <patternFill patternType="solid">
        <fgColor rgb="FFFFD965"/>
        <bgColor rgb="FFFFD965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941651"/>
      </patternFill>
    </fill>
    <fill>
      <patternFill patternType="solid">
        <fgColor theme="0"/>
        <bgColor rgb="FFA8D08D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941651"/>
      </patternFill>
    </fill>
    <fill>
      <patternFill patternType="solid">
        <fgColor rgb="FF00B050"/>
        <bgColor rgb="FFD0CECE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rgb="FFD0CECE"/>
      </patternFill>
    </fill>
    <fill>
      <patternFill patternType="solid">
        <fgColor rgb="FFFFFF00"/>
        <bgColor rgb="FFFFFF00"/>
      </patternFill>
    </fill>
  </fills>
  <borders count="9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2">
    <xf numFmtId="0" fontId="0" fillId="0" borderId="0" xfId="0"/>
    <xf numFmtId="0" fontId="6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12" fillId="0" borderId="0" xfId="0" applyFont="1"/>
    <xf numFmtId="0" fontId="13" fillId="3" borderId="0" xfId="0" applyFont="1" applyFill="1"/>
    <xf numFmtId="0" fontId="3" fillId="4" borderId="12" xfId="0" applyFont="1" applyFill="1" applyBorder="1" applyAlignment="1">
      <alignment horizontal="center" vertical="center"/>
    </xf>
    <xf numFmtId="0" fontId="8" fillId="2" borderId="42" xfId="0" applyFont="1" applyFill="1" applyBorder="1"/>
    <xf numFmtId="0" fontId="6" fillId="5" borderId="44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164" fontId="3" fillId="2" borderId="40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164" fontId="4" fillId="2" borderId="49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9" fillId="2" borderId="12" xfId="0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8" fillId="9" borderId="42" xfId="0" applyFont="1" applyFill="1" applyBorder="1"/>
    <xf numFmtId="0" fontId="6" fillId="2" borderId="4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vertical="center"/>
    </xf>
    <xf numFmtId="0" fontId="9" fillId="11" borderId="12" xfId="0" applyFont="1" applyFill="1" applyBorder="1" applyAlignment="1">
      <alignment vertical="center"/>
    </xf>
    <xf numFmtId="0" fontId="9" fillId="2" borderId="36" xfId="0" applyFont="1" applyFill="1" applyBorder="1" applyAlignment="1">
      <alignment vertical="center" wrapText="1"/>
    </xf>
    <xf numFmtId="0" fontId="1" fillId="2" borderId="56" xfId="0" applyFont="1" applyFill="1" applyBorder="1" applyAlignment="1">
      <alignment horizontal="center" vertical="center"/>
    </xf>
    <xf numFmtId="9" fontId="9" fillId="2" borderId="36" xfId="0" applyNumberFormat="1" applyFont="1" applyFill="1" applyBorder="1" applyAlignment="1">
      <alignment horizontal="center" vertical="center" wrapText="1"/>
    </xf>
    <xf numFmtId="0" fontId="9" fillId="12" borderId="26" xfId="0" applyFont="1" applyFill="1" applyBorder="1" applyAlignment="1">
      <alignment horizontal="center"/>
    </xf>
    <xf numFmtId="0" fontId="9" fillId="12" borderId="27" xfId="0" applyFont="1" applyFill="1" applyBorder="1" applyAlignment="1">
      <alignment horizontal="center"/>
    </xf>
    <xf numFmtId="0" fontId="9" fillId="12" borderId="28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49" fontId="25" fillId="13" borderId="37" xfId="0" applyNumberFormat="1" applyFont="1" applyFill="1" applyBorder="1" applyAlignment="1">
      <alignment horizontal="center" vertical="center"/>
    </xf>
    <xf numFmtId="0" fontId="8" fillId="13" borderId="59" xfId="0" applyFont="1" applyFill="1" applyBorder="1"/>
    <xf numFmtId="49" fontId="27" fillId="15" borderId="60" xfId="0" applyNumberFormat="1" applyFont="1" applyFill="1" applyBorder="1" applyAlignment="1">
      <alignment horizontal="center" vertical="center"/>
    </xf>
    <xf numFmtId="0" fontId="28" fillId="15" borderId="61" xfId="0" applyFont="1" applyFill="1" applyBorder="1"/>
    <xf numFmtId="164" fontId="8" fillId="16" borderId="62" xfId="0" applyNumberFormat="1" applyFont="1" applyFill="1" applyBorder="1" applyAlignment="1">
      <alignment horizontal="center" vertical="center"/>
    </xf>
    <xf numFmtId="0" fontId="9" fillId="14" borderId="60" xfId="0" applyFont="1" applyFill="1" applyBorder="1" applyAlignment="1">
      <alignment horizontal="center" vertical="center"/>
    </xf>
    <xf numFmtId="0" fontId="26" fillId="14" borderId="63" xfId="0" applyFont="1" applyFill="1" applyBorder="1" applyAlignment="1">
      <alignment horizontal="center" vertical="center"/>
    </xf>
    <xf numFmtId="49" fontId="29" fillId="15" borderId="64" xfId="0" applyNumberFormat="1" applyFont="1" applyFill="1" applyBorder="1" applyAlignment="1">
      <alignment horizontal="center" vertical="center"/>
    </xf>
    <xf numFmtId="0" fontId="28" fillId="15" borderId="65" xfId="0" applyFont="1" applyFill="1" applyBorder="1"/>
    <xf numFmtId="164" fontId="8" fillId="16" borderId="66" xfId="0" applyNumberFormat="1" applyFont="1" applyFill="1" applyBorder="1"/>
    <xf numFmtId="0" fontId="30" fillId="17" borderId="64" xfId="0" applyFont="1" applyFill="1" applyBorder="1" applyAlignment="1">
      <alignment horizontal="center" vertical="center"/>
    </xf>
    <xf numFmtId="0" fontId="31" fillId="17" borderId="67" xfId="0" applyFont="1" applyFill="1" applyBorder="1"/>
    <xf numFmtId="164" fontId="8" fillId="15" borderId="68" xfId="0" applyNumberFormat="1" applyFont="1" applyFill="1" applyBorder="1" applyAlignment="1">
      <alignment horizontal="center" vertical="center"/>
    </xf>
    <xf numFmtId="164" fontId="8" fillId="15" borderId="69" xfId="0" applyNumberFormat="1" applyFont="1" applyFill="1" applyBorder="1" applyAlignment="1">
      <alignment horizontal="center" vertical="center"/>
    </xf>
    <xf numFmtId="164" fontId="8" fillId="15" borderId="70" xfId="0" applyNumberFormat="1" applyFont="1" applyFill="1" applyBorder="1" applyAlignment="1">
      <alignment horizontal="center" vertical="center"/>
    </xf>
    <xf numFmtId="164" fontId="8" fillId="15" borderId="71" xfId="0" applyNumberFormat="1" applyFont="1" applyFill="1" applyBorder="1" applyAlignment="1">
      <alignment horizontal="center" vertical="center"/>
    </xf>
    <xf numFmtId="0" fontId="32" fillId="17" borderId="72" xfId="0" applyFont="1" applyFill="1" applyBorder="1" applyAlignment="1">
      <alignment horizontal="center" vertical="center"/>
    </xf>
    <xf numFmtId="0" fontId="31" fillId="17" borderId="73" xfId="0" applyFont="1" applyFill="1" applyBorder="1"/>
    <xf numFmtId="0" fontId="8" fillId="15" borderId="74" xfId="0" applyFont="1" applyFill="1" applyBorder="1"/>
    <xf numFmtId="0" fontId="8" fillId="15" borderId="75" xfId="0" applyFont="1" applyFill="1" applyBorder="1"/>
    <xf numFmtId="164" fontId="33" fillId="16" borderId="26" xfId="0" applyNumberFormat="1" applyFont="1" applyFill="1" applyBorder="1"/>
    <xf numFmtId="164" fontId="33" fillId="16" borderId="27" xfId="0" applyNumberFormat="1" applyFont="1" applyFill="1" applyBorder="1"/>
    <xf numFmtId="164" fontId="33" fillId="16" borderId="76" xfId="0" applyNumberFormat="1" applyFont="1" applyFill="1" applyBorder="1"/>
    <xf numFmtId="0" fontId="8" fillId="7" borderId="12" xfId="0" applyFont="1" applyFill="1" applyBorder="1"/>
    <xf numFmtId="49" fontId="34" fillId="15" borderId="77" xfId="0" applyNumberFormat="1" applyFont="1" applyFill="1" applyBorder="1" applyAlignment="1">
      <alignment horizontal="center" vertical="center"/>
    </xf>
    <xf numFmtId="0" fontId="28" fillId="15" borderId="78" xfId="0" applyFont="1" applyFill="1" applyBorder="1"/>
    <xf numFmtId="164" fontId="8" fillId="16" borderId="79" xfId="0" applyNumberFormat="1" applyFont="1" applyFill="1" applyBorder="1"/>
    <xf numFmtId="164" fontId="8" fillId="9" borderId="12" xfId="0" applyNumberFormat="1" applyFont="1" applyFill="1" applyBorder="1"/>
    <xf numFmtId="164" fontId="36" fillId="16" borderId="58" xfId="0" applyNumberFormat="1" applyFont="1" applyFill="1" applyBorder="1"/>
    <xf numFmtId="164" fontId="8" fillId="18" borderId="12" xfId="0" applyNumberFormat="1" applyFont="1" applyFill="1" applyBorder="1"/>
    <xf numFmtId="164" fontId="8" fillId="19" borderId="12" xfId="0" applyNumberFormat="1" applyFont="1" applyFill="1" applyBorder="1"/>
    <xf numFmtId="49" fontId="28" fillId="15" borderId="65" xfId="0" applyNumberFormat="1" applyFont="1" applyFill="1" applyBorder="1"/>
    <xf numFmtId="164" fontId="8" fillId="15" borderId="80" xfId="0" applyNumberFormat="1" applyFont="1" applyFill="1" applyBorder="1" applyAlignment="1">
      <alignment horizontal="center" vertical="center"/>
    </xf>
    <xf numFmtId="164" fontId="33" fillId="16" borderId="28" xfId="0" applyNumberFormat="1" applyFont="1" applyFill="1" applyBorder="1"/>
    <xf numFmtId="164" fontId="36" fillId="18" borderId="58" xfId="0" applyNumberFormat="1" applyFont="1" applyFill="1" applyBorder="1"/>
    <xf numFmtId="0" fontId="31" fillId="17" borderId="67" xfId="0" applyFont="1" applyFill="1" applyBorder="1" applyAlignment="1">
      <alignment wrapText="1"/>
    </xf>
    <xf numFmtId="0" fontId="37" fillId="17" borderId="64" xfId="0" applyFont="1" applyFill="1" applyBorder="1" applyAlignment="1">
      <alignment horizontal="center" vertical="center" wrapText="1"/>
    </xf>
    <xf numFmtId="164" fontId="8" fillId="9" borderId="49" xfId="0" applyNumberFormat="1" applyFont="1" applyFill="1" applyBorder="1"/>
    <xf numFmtId="0" fontId="8" fillId="22" borderId="42" xfId="0" applyFont="1" applyFill="1" applyBorder="1"/>
    <xf numFmtId="0" fontId="0" fillId="21" borderId="0" xfId="0" applyFill="1"/>
    <xf numFmtId="0" fontId="39" fillId="0" borderId="0" xfId="0" applyFont="1"/>
    <xf numFmtId="0" fontId="3" fillId="20" borderId="36" xfId="0" applyFont="1" applyFill="1" applyBorder="1" applyAlignment="1">
      <alignment horizontal="center" vertical="center"/>
    </xf>
    <xf numFmtId="0" fontId="45" fillId="23" borderId="42" xfId="0" applyFont="1" applyFill="1" applyBorder="1" applyAlignment="1">
      <alignment horizontal="center" vertical="center"/>
    </xf>
    <xf numFmtId="164" fontId="51" fillId="2" borderId="49" xfId="0" applyNumberFormat="1" applyFont="1" applyFill="1" applyBorder="1" applyAlignment="1">
      <alignment horizontal="center" vertical="center"/>
    </xf>
    <xf numFmtId="0" fontId="45" fillId="23" borderId="44" xfId="0" applyFont="1" applyFill="1" applyBorder="1" applyAlignment="1">
      <alignment horizontal="center" vertical="center"/>
    </xf>
    <xf numFmtId="0" fontId="45" fillId="23" borderId="44" xfId="0" applyFont="1" applyFill="1" applyBorder="1" applyAlignment="1">
      <alignment horizontal="center" vertical="center" wrapText="1"/>
    </xf>
    <xf numFmtId="0" fontId="46" fillId="26" borderId="26" xfId="0" applyFont="1" applyFill="1" applyBorder="1" applyAlignment="1">
      <alignment horizontal="center"/>
    </xf>
    <xf numFmtId="0" fontId="46" fillId="26" borderId="27" xfId="0" applyFont="1" applyFill="1" applyBorder="1" applyAlignment="1">
      <alignment horizontal="center"/>
    </xf>
    <xf numFmtId="0" fontId="46" fillId="26" borderId="28" xfId="0" applyFont="1" applyFill="1" applyBorder="1" applyAlignment="1">
      <alignment horizontal="center"/>
    </xf>
    <xf numFmtId="0" fontId="46" fillId="20" borderId="32" xfId="0" applyFont="1" applyFill="1" applyBorder="1" applyAlignment="1">
      <alignment horizontal="center" vertical="center" wrapText="1"/>
    </xf>
    <xf numFmtId="0" fontId="46" fillId="20" borderId="12" xfId="0" applyFont="1" applyFill="1" applyBorder="1" applyAlignment="1">
      <alignment horizontal="center" vertical="center" wrapText="1"/>
    </xf>
    <xf numFmtId="0" fontId="46" fillId="20" borderId="37" xfId="0" applyFont="1" applyFill="1" applyBorder="1" applyAlignment="1">
      <alignment horizontal="center" vertical="center" wrapText="1"/>
    </xf>
    <xf numFmtId="0" fontId="46" fillId="2" borderId="36" xfId="0" applyFont="1" applyFill="1" applyBorder="1" applyAlignment="1">
      <alignment horizontal="center" vertical="center"/>
    </xf>
    <xf numFmtId="0" fontId="55" fillId="20" borderId="37" xfId="0" applyFont="1" applyFill="1" applyBorder="1" applyAlignment="1">
      <alignment horizontal="center" vertical="center" wrapText="1"/>
    </xf>
    <xf numFmtId="0" fontId="46" fillId="20" borderId="37" xfId="0" applyFont="1" applyFill="1" applyBorder="1" applyAlignment="1">
      <alignment horizontal="center" vertical="center"/>
    </xf>
    <xf numFmtId="0" fontId="46" fillId="2" borderId="12" xfId="0" applyFont="1" applyFill="1" applyBorder="1" applyAlignment="1">
      <alignment horizontal="center" vertical="center"/>
    </xf>
    <xf numFmtId="0" fontId="51" fillId="22" borderId="42" xfId="0" applyFont="1" applyFill="1" applyBorder="1"/>
    <xf numFmtId="164" fontId="46" fillId="20" borderId="54" xfId="0" applyNumberFormat="1" applyFont="1" applyFill="1" applyBorder="1" applyAlignment="1">
      <alignment horizontal="center" vertical="center"/>
    </xf>
    <xf numFmtId="0" fontId="51" fillId="25" borderId="58" xfId="0" applyFont="1" applyFill="1" applyBorder="1" applyAlignment="1">
      <alignment horizontal="center" vertical="center" wrapText="1"/>
    </xf>
    <xf numFmtId="0" fontId="53" fillId="23" borderId="43" xfId="0" applyFont="1" applyFill="1" applyBorder="1" applyAlignment="1">
      <alignment horizontal="center" vertical="center" wrapText="1"/>
    </xf>
    <xf numFmtId="9" fontId="46" fillId="20" borderId="32" xfId="0" applyNumberFormat="1" applyFont="1" applyFill="1" applyBorder="1" applyAlignment="1">
      <alignment horizontal="center" vertical="center" wrapText="1"/>
    </xf>
    <xf numFmtId="9" fontId="46" fillId="29" borderId="32" xfId="0" applyNumberFormat="1" applyFont="1" applyFill="1" applyBorder="1" applyAlignment="1">
      <alignment horizontal="center" vertical="center" wrapText="1"/>
    </xf>
    <xf numFmtId="0" fontId="46" fillId="30" borderId="36" xfId="0" applyFont="1" applyFill="1" applyBorder="1" applyAlignment="1">
      <alignment horizontal="center" vertical="center"/>
    </xf>
    <xf numFmtId="0" fontId="46" fillId="29" borderId="32" xfId="0" applyFont="1" applyFill="1" applyBorder="1" applyAlignment="1">
      <alignment horizontal="center" vertical="center" wrapText="1"/>
    </xf>
    <xf numFmtId="0" fontId="46" fillId="30" borderId="12" xfId="0" applyFont="1" applyFill="1" applyBorder="1" applyAlignment="1">
      <alignment horizontal="center" vertical="center"/>
    </xf>
    <xf numFmtId="0" fontId="55" fillId="3" borderId="36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51" fillId="0" borderId="0" xfId="0" applyFont="1"/>
    <xf numFmtId="0" fontId="45" fillId="2" borderId="10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5" fillId="2" borderId="12" xfId="0" applyFont="1" applyFill="1" applyBorder="1" applyAlignment="1">
      <alignment horizontal="center" vertical="center"/>
    </xf>
    <xf numFmtId="164" fontId="46" fillId="2" borderId="15" xfId="0" applyNumberFormat="1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164" fontId="51" fillId="2" borderId="17" xfId="0" applyNumberFormat="1" applyFont="1" applyFill="1" applyBorder="1" applyAlignment="1">
      <alignment horizontal="center" vertical="center"/>
    </xf>
    <xf numFmtId="0" fontId="53" fillId="2" borderId="8" xfId="0" applyFont="1" applyFill="1" applyBorder="1" applyAlignment="1">
      <alignment horizontal="center" vertical="center" wrapText="1"/>
    </xf>
    <xf numFmtId="0" fontId="51" fillId="2" borderId="12" xfId="0" applyFont="1" applyFill="1" applyBorder="1" applyAlignment="1">
      <alignment horizontal="center" vertical="center" wrapText="1"/>
    </xf>
    <xf numFmtId="0" fontId="53" fillId="2" borderId="18" xfId="0" applyFont="1" applyFill="1" applyBorder="1" applyAlignment="1">
      <alignment horizontal="center" vertical="center" wrapText="1"/>
    </xf>
    <xf numFmtId="0" fontId="46" fillId="2" borderId="26" xfId="0" applyFont="1" applyFill="1" applyBorder="1" applyAlignment="1">
      <alignment horizontal="center"/>
    </xf>
    <xf numFmtId="0" fontId="46" fillId="2" borderId="27" xfId="0" applyFont="1" applyFill="1" applyBorder="1" applyAlignment="1">
      <alignment horizontal="center"/>
    </xf>
    <xf numFmtId="0" fontId="46" fillId="2" borderId="28" xfId="0" applyFont="1" applyFill="1" applyBorder="1" applyAlignment="1">
      <alignment horizontal="center"/>
    </xf>
    <xf numFmtId="0" fontId="46" fillId="2" borderId="31" xfId="0" applyFont="1" applyFill="1" applyBorder="1" applyAlignment="1">
      <alignment horizontal="center" vertical="center" wrapText="1"/>
    </xf>
    <xf numFmtId="0" fontId="46" fillId="2" borderId="32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46" fillId="2" borderId="37" xfId="0" applyFont="1" applyFill="1" applyBorder="1" applyAlignment="1">
      <alignment horizontal="center" vertical="center" wrapText="1"/>
    </xf>
    <xf numFmtId="1" fontId="46" fillId="2" borderId="12" xfId="0" applyNumberFormat="1" applyFont="1" applyFill="1" applyBorder="1" applyAlignment="1">
      <alignment horizontal="center" vertical="center"/>
    </xf>
    <xf numFmtId="0" fontId="55" fillId="2" borderId="37" xfId="0" applyFont="1" applyFill="1" applyBorder="1" applyAlignment="1">
      <alignment horizontal="center" vertical="center" wrapText="1"/>
    </xf>
    <xf numFmtId="1" fontId="46" fillId="2" borderId="36" xfId="0" applyNumberFormat="1" applyFont="1" applyFill="1" applyBorder="1" applyAlignment="1">
      <alignment horizontal="center" vertical="center"/>
    </xf>
    <xf numFmtId="0" fontId="45" fillId="3" borderId="10" xfId="0" applyFont="1" applyFill="1" applyBorder="1" applyAlignment="1">
      <alignment horizontal="center" vertical="center"/>
    </xf>
    <xf numFmtId="0" fontId="45" fillId="3" borderId="11" xfId="0" applyFont="1" applyFill="1" applyBorder="1" applyAlignment="1">
      <alignment horizontal="center" vertical="center"/>
    </xf>
    <xf numFmtId="0" fontId="45" fillId="3" borderId="12" xfId="0" applyFont="1" applyFill="1" applyBorder="1" applyAlignment="1">
      <alignment horizontal="center" vertical="center"/>
    </xf>
    <xf numFmtId="164" fontId="46" fillId="3" borderId="15" xfId="0" applyNumberFormat="1" applyFont="1" applyFill="1" applyBorder="1" applyAlignment="1">
      <alignment horizontal="center" vertical="center"/>
    </xf>
    <xf numFmtId="0" fontId="45" fillId="3" borderId="16" xfId="0" applyFont="1" applyFill="1" applyBorder="1" applyAlignment="1">
      <alignment horizontal="center" vertical="center"/>
    </xf>
    <xf numFmtId="164" fontId="51" fillId="3" borderId="17" xfId="0" applyNumberFormat="1" applyFont="1" applyFill="1" applyBorder="1" applyAlignment="1">
      <alignment horizontal="center" vertical="center"/>
    </xf>
    <xf numFmtId="0" fontId="53" fillId="3" borderId="8" xfId="0" applyFont="1" applyFill="1" applyBorder="1" applyAlignment="1">
      <alignment horizontal="center" vertical="center" wrapText="1"/>
    </xf>
    <xf numFmtId="0" fontId="51" fillId="3" borderId="12" xfId="0" applyFont="1" applyFill="1" applyBorder="1" applyAlignment="1">
      <alignment horizontal="center" vertical="center" wrapText="1"/>
    </xf>
    <xf numFmtId="0" fontId="53" fillId="3" borderId="18" xfId="0" applyFont="1" applyFill="1" applyBorder="1" applyAlignment="1">
      <alignment horizontal="center" vertical="center" wrapText="1"/>
    </xf>
    <xf numFmtId="0" fontId="46" fillId="3" borderId="26" xfId="0" applyFont="1" applyFill="1" applyBorder="1" applyAlignment="1">
      <alignment horizontal="center"/>
    </xf>
    <xf numFmtId="0" fontId="46" fillId="3" borderId="27" xfId="0" applyFont="1" applyFill="1" applyBorder="1" applyAlignment="1">
      <alignment horizontal="center"/>
    </xf>
    <xf numFmtId="0" fontId="46" fillId="3" borderId="28" xfId="0" applyFont="1" applyFill="1" applyBorder="1" applyAlignment="1">
      <alignment horizontal="center"/>
    </xf>
    <xf numFmtId="0" fontId="46" fillId="3" borderId="36" xfId="0" applyFont="1" applyFill="1" applyBorder="1" applyAlignment="1">
      <alignment horizontal="center" vertical="center"/>
    </xf>
    <xf numFmtId="0" fontId="46" fillId="3" borderId="37" xfId="0" applyFont="1" applyFill="1" applyBorder="1" applyAlignment="1">
      <alignment horizontal="center" vertical="center" wrapText="1"/>
    </xf>
    <xf numFmtId="0" fontId="46" fillId="3" borderId="12" xfId="0" applyFont="1" applyFill="1" applyBorder="1" applyAlignment="1">
      <alignment horizontal="center" vertical="center"/>
    </xf>
    <xf numFmtId="1" fontId="46" fillId="2" borderId="4" xfId="0" applyNumberFormat="1" applyFont="1" applyFill="1" applyBorder="1" applyAlignment="1">
      <alignment horizontal="center" vertical="center"/>
    </xf>
    <xf numFmtId="164" fontId="46" fillId="3" borderId="40" xfId="0" applyNumberFormat="1" applyFont="1" applyFill="1" applyBorder="1" applyAlignment="1">
      <alignment horizontal="center" vertical="center"/>
    </xf>
    <xf numFmtId="0" fontId="46" fillId="3" borderId="4" xfId="0" applyFont="1" applyFill="1" applyBorder="1" applyAlignment="1">
      <alignment horizontal="center" vertical="center"/>
    </xf>
    <xf numFmtId="0" fontId="46" fillId="3" borderId="37" xfId="0" applyFont="1" applyFill="1" applyBorder="1" applyAlignment="1">
      <alignment horizontal="center" vertical="center"/>
    </xf>
    <xf numFmtId="0" fontId="46" fillId="31" borderId="12" xfId="0" applyFont="1" applyFill="1" applyBorder="1" applyAlignment="1">
      <alignment horizontal="center" vertical="center"/>
    </xf>
    <xf numFmtId="0" fontId="46" fillId="32" borderId="12" xfId="0" applyFont="1" applyFill="1" applyBorder="1" applyAlignment="1">
      <alignment horizontal="center" vertical="center"/>
    </xf>
    <xf numFmtId="1" fontId="46" fillId="30" borderId="12" xfId="0" applyNumberFormat="1" applyFont="1" applyFill="1" applyBorder="1" applyAlignment="1">
      <alignment horizontal="center" vertical="center"/>
    </xf>
    <xf numFmtId="0" fontId="46" fillId="33" borderId="12" xfId="0" applyFont="1" applyFill="1" applyBorder="1" applyAlignment="1">
      <alignment horizontal="center" vertical="center"/>
    </xf>
    <xf numFmtId="1" fontId="46" fillId="34" borderId="12" xfId="0" applyNumberFormat="1" applyFont="1" applyFill="1" applyBorder="1" applyAlignment="1">
      <alignment horizontal="center" vertical="center"/>
    </xf>
    <xf numFmtId="0" fontId="46" fillId="35" borderId="32" xfId="0" applyFont="1" applyFill="1" applyBorder="1" applyAlignment="1">
      <alignment horizontal="center" vertical="center" wrapText="1"/>
    </xf>
    <xf numFmtId="0" fontId="53" fillId="3" borderId="53" xfId="0" applyFont="1" applyFill="1" applyBorder="1" applyAlignment="1">
      <alignment horizontal="center" vertical="center" wrapText="1"/>
    </xf>
    <xf numFmtId="0" fontId="53" fillId="3" borderId="43" xfId="0" applyFont="1" applyFill="1" applyBorder="1" applyAlignment="1">
      <alignment horizontal="center" vertical="center" wrapText="1"/>
    </xf>
    <xf numFmtId="0" fontId="46" fillId="2" borderId="36" xfId="0" applyFont="1" applyFill="1" applyBorder="1" applyAlignment="1">
      <alignment horizontal="center" vertical="center" wrapText="1"/>
    </xf>
    <xf numFmtId="1" fontId="46" fillId="36" borderId="12" xfId="0" applyNumberFormat="1" applyFont="1" applyFill="1" applyBorder="1" applyAlignment="1">
      <alignment horizontal="center" vertical="center"/>
    </xf>
    <xf numFmtId="0" fontId="51" fillId="21" borderId="0" xfId="0" applyFont="1" applyFill="1"/>
    <xf numFmtId="0" fontId="46" fillId="20" borderId="42" xfId="0" applyFont="1" applyFill="1" applyBorder="1" applyAlignment="1">
      <alignment horizontal="center" vertical="center" wrapText="1"/>
    </xf>
    <xf numFmtId="0" fontId="55" fillId="20" borderId="37" xfId="0" applyFont="1" applyFill="1" applyBorder="1" applyAlignment="1">
      <alignment horizontal="center" vertical="center"/>
    </xf>
    <xf numFmtId="9" fontId="43" fillId="20" borderId="58" xfId="0" applyNumberFormat="1" applyFont="1" applyFill="1" applyBorder="1" applyAlignment="1">
      <alignment horizontal="center" vertical="center" wrapText="1"/>
    </xf>
    <xf numFmtId="0" fontId="46" fillId="25" borderId="93" xfId="0" applyFont="1" applyFill="1" applyBorder="1" applyAlignment="1">
      <alignment horizontal="center" vertical="center"/>
    </xf>
    <xf numFmtId="0" fontId="40" fillId="21" borderId="94" xfId="0" applyFont="1" applyFill="1" applyBorder="1"/>
    <xf numFmtId="0" fontId="40" fillId="21" borderId="95" xfId="0" applyFont="1" applyFill="1" applyBorder="1"/>
    <xf numFmtId="0" fontId="51" fillId="20" borderId="25" xfId="0" applyFont="1" applyFill="1" applyBorder="1" applyAlignment="1">
      <alignment horizontal="center" vertical="center" wrapText="1"/>
    </xf>
    <xf numFmtId="0" fontId="40" fillId="21" borderId="48" xfId="0" applyFont="1" applyFill="1" applyBorder="1"/>
    <xf numFmtId="0" fontId="40" fillId="21" borderId="53" xfId="0" applyFont="1" applyFill="1" applyBorder="1"/>
    <xf numFmtId="0" fontId="51" fillId="20" borderId="17" xfId="0" applyFont="1" applyFill="1" applyBorder="1" applyAlignment="1">
      <alignment horizontal="center" vertical="center" wrapText="1"/>
    </xf>
    <xf numFmtId="0" fontId="40" fillId="21" borderId="23" xfId="0" applyFont="1" applyFill="1" applyBorder="1"/>
    <xf numFmtId="0" fontId="40" fillId="21" borderId="19" xfId="0" applyFont="1" applyFill="1" applyBorder="1"/>
    <xf numFmtId="0" fontId="46" fillId="23" borderId="5" xfId="0" applyFont="1" applyFill="1" applyBorder="1" applyAlignment="1">
      <alignment horizontal="center" vertical="center"/>
    </xf>
    <xf numFmtId="0" fontId="40" fillId="21" borderId="4" xfId="0" applyFont="1" applyFill="1" applyBorder="1"/>
    <xf numFmtId="0" fontId="46" fillId="23" borderId="34" xfId="0" applyFont="1" applyFill="1" applyBorder="1" applyAlignment="1">
      <alignment horizontal="center" vertical="center"/>
    </xf>
    <xf numFmtId="0" fontId="40" fillId="21" borderId="35" xfId="0" applyFont="1" applyFill="1" applyBorder="1"/>
    <xf numFmtId="0" fontId="51" fillId="20" borderId="93" xfId="0" applyFont="1" applyFill="1" applyBorder="1" applyAlignment="1">
      <alignment horizontal="center" vertical="center" wrapText="1"/>
    </xf>
    <xf numFmtId="0" fontId="51" fillId="20" borderId="30" xfId="0" applyFont="1" applyFill="1" applyBorder="1" applyAlignment="1">
      <alignment horizontal="center" vertical="center" wrapText="1"/>
    </xf>
    <xf numFmtId="0" fontId="40" fillId="21" borderId="33" xfId="0" applyFont="1" applyFill="1" applyBorder="1"/>
    <xf numFmtId="0" fontId="40" fillId="21" borderId="10" xfId="0" applyFont="1" applyFill="1" applyBorder="1"/>
    <xf numFmtId="0" fontId="46" fillId="25" borderId="15" xfId="0" applyFont="1" applyFill="1" applyBorder="1" applyAlignment="1">
      <alignment horizontal="center" vertical="center"/>
    </xf>
    <xf numFmtId="0" fontId="51" fillId="20" borderId="15" xfId="0" applyFont="1" applyFill="1" applyBorder="1" applyAlignment="1">
      <alignment horizontal="center" vertical="center" wrapText="1"/>
    </xf>
    <xf numFmtId="0" fontId="46" fillId="25" borderId="57" xfId="0" applyFont="1" applyFill="1" applyBorder="1" applyAlignment="1">
      <alignment horizontal="center" vertical="center"/>
    </xf>
    <xf numFmtId="0" fontId="40" fillId="21" borderId="24" xfId="0" applyFont="1" applyFill="1" applyBorder="1"/>
    <xf numFmtId="0" fontId="40" fillId="21" borderId="42" xfId="0" applyFont="1" applyFill="1" applyBorder="1"/>
    <xf numFmtId="0" fontId="51" fillId="20" borderId="17" xfId="0" applyFont="1" applyFill="1" applyBorder="1" applyAlignment="1">
      <alignment horizontal="center" wrapText="1"/>
    </xf>
    <xf numFmtId="0" fontId="40" fillId="21" borderId="54" xfId="0" applyFont="1" applyFill="1" applyBorder="1"/>
    <xf numFmtId="0" fontId="46" fillId="25" borderId="17" xfId="0" applyFont="1" applyFill="1" applyBorder="1" applyAlignment="1">
      <alignment horizontal="center" vertical="center"/>
    </xf>
    <xf numFmtId="0" fontId="45" fillId="23" borderId="5" xfId="0" applyFont="1" applyFill="1" applyBorder="1" applyAlignment="1">
      <alignment horizontal="center" vertical="center"/>
    </xf>
    <xf numFmtId="0" fontId="28" fillId="20" borderId="5" xfId="0" applyFont="1" applyFill="1" applyBorder="1" applyAlignment="1">
      <alignment horizontal="center" vertical="center" wrapText="1"/>
    </xf>
    <xf numFmtId="0" fontId="46" fillId="26" borderId="25" xfId="0" applyFont="1" applyFill="1" applyBorder="1" applyAlignment="1">
      <alignment horizontal="center" vertical="center" wrapText="1"/>
    </xf>
    <xf numFmtId="0" fontId="40" fillId="21" borderId="29" xfId="0" applyFont="1" applyFill="1" applyBorder="1"/>
    <xf numFmtId="0" fontId="46" fillId="26" borderId="17" xfId="0" applyFont="1" applyFill="1" applyBorder="1" applyAlignment="1">
      <alignment horizontal="center" vertical="center" wrapText="1"/>
    </xf>
    <xf numFmtId="0" fontId="40" fillId="21" borderId="9" xfId="0" applyFont="1" applyFill="1" applyBorder="1"/>
    <xf numFmtId="0" fontId="45" fillId="23" borderId="20" xfId="0" applyFont="1" applyFill="1" applyBorder="1" applyAlignment="1">
      <alignment horizontal="center" vertical="center"/>
    </xf>
    <xf numFmtId="0" fontId="40" fillId="21" borderId="21" xfId="0" applyFont="1" applyFill="1" applyBorder="1"/>
    <xf numFmtId="0" fontId="40" fillId="21" borderId="22" xfId="0" applyFont="1" applyFill="1" applyBorder="1"/>
    <xf numFmtId="0" fontId="46" fillId="26" borderId="15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0" fontId="40" fillId="21" borderId="11" xfId="0" applyFont="1" applyFill="1" applyBorder="1"/>
    <xf numFmtId="0" fontId="54" fillId="26" borderId="5" xfId="0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 vertical="center"/>
    </xf>
    <xf numFmtId="0" fontId="40" fillId="21" borderId="3" xfId="0" applyFont="1" applyFill="1" applyBorder="1"/>
    <xf numFmtId="0" fontId="40" fillId="21" borderId="6" xfId="0" applyFont="1" applyFill="1" applyBorder="1"/>
    <xf numFmtId="0" fontId="40" fillId="21" borderId="8" xfId="0" applyFont="1" applyFill="1" applyBorder="1"/>
    <xf numFmtId="0" fontId="41" fillId="27" borderId="50" xfId="0" applyFont="1" applyFill="1" applyBorder="1" applyAlignment="1">
      <alignment horizontal="center" vertical="center"/>
    </xf>
    <xf numFmtId="0" fontId="41" fillId="27" borderId="57" xfId="0" applyFont="1" applyFill="1" applyBorder="1" applyAlignment="1">
      <alignment horizontal="center" vertical="center"/>
    </xf>
    <xf numFmtId="0" fontId="41" fillId="27" borderId="47" xfId="0" applyFont="1" applyFill="1" applyBorder="1" applyAlignment="1">
      <alignment horizontal="center" vertical="center"/>
    </xf>
    <xf numFmtId="0" fontId="41" fillId="27" borderId="42" xfId="0" applyFont="1" applyFill="1" applyBorder="1" applyAlignment="1">
      <alignment horizontal="center" vertical="center"/>
    </xf>
    <xf numFmtId="0" fontId="43" fillId="2" borderId="57" xfId="0" applyFont="1" applyFill="1" applyBorder="1" applyAlignment="1">
      <alignment horizontal="center" vertical="center"/>
    </xf>
    <xf numFmtId="0" fontId="43" fillId="2" borderId="25" xfId="0" applyFont="1" applyFill="1" applyBorder="1" applyAlignment="1">
      <alignment horizontal="center" vertical="center"/>
    </xf>
    <xf numFmtId="0" fontId="43" fillId="2" borderId="43" xfId="0" applyFont="1" applyFill="1" applyBorder="1" applyAlignment="1">
      <alignment horizontal="center" vertical="center"/>
    </xf>
    <xf numFmtId="0" fontId="43" fillId="2" borderId="53" xfId="0" applyFont="1" applyFill="1" applyBorder="1" applyAlignment="1">
      <alignment horizontal="center" vertical="center"/>
    </xf>
    <xf numFmtId="0" fontId="51" fillId="2" borderId="5" xfId="0" applyFont="1" applyFill="1" applyBorder="1" applyAlignment="1">
      <alignment horizontal="center" vertical="center"/>
    </xf>
    <xf numFmtId="0" fontId="40" fillId="0" borderId="4" xfId="0" applyFont="1" applyBorder="1"/>
    <xf numFmtId="14" fontId="51" fillId="2" borderId="5" xfId="0" applyNumberFormat="1" applyFont="1" applyFill="1" applyBorder="1" applyAlignment="1">
      <alignment horizontal="center" vertical="center"/>
    </xf>
    <xf numFmtId="49" fontId="49" fillId="2" borderId="37" xfId="0" applyNumberFormat="1" applyFont="1" applyFill="1" applyBorder="1" applyAlignment="1">
      <alignment horizontal="center" vertical="center"/>
    </xf>
    <xf numFmtId="49" fontId="49" fillId="2" borderId="59" xfId="0" applyNumberFormat="1" applyFont="1" applyFill="1" applyBorder="1" applyAlignment="1">
      <alignment horizontal="center" vertical="center"/>
    </xf>
    <xf numFmtId="49" fontId="49" fillId="2" borderId="36" xfId="0" applyNumberFormat="1" applyFont="1" applyFill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 wrapText="1"/>
    </xf>
    <xf numFmtId="0" fontId="40" fillId="0" borderId="14" xfId="0" applyFont="1" applyBorder="1"/>
    <xf numFmtId="0" fontId="56" fillId="3" borderId="5" xfId="0" applyFont="1" applyFill="1" applyBorder="1" applyAlignment="1">
      <alignment horizontal="center" vertical="center"/>
    </xf>
    <xf numFmtId="0" fontId="41" fillId="23" borderId="50" xfId="0" applyFont="1" applyFill="1" applyBorder="1" applyAlignment="1">
      <alignment horizontal="center" vertical="center"/>
    </xf>
    <xf numFmtId="0" fontId="52" fillId="25" borderId="5" xfId="0" applyFont="1" applyFill="1" applyBorder="1" applyAlignment="1">
      <alignment horizontal="center" vertical="center"/>
    </xf>
    <xf numFmtId="0" fontId="41" fillId="2" borderId="37" xfId="0" applyFont="1" applyFill="1" applyBorder="1" applyAlignment="1">
      <alignment horizontal="center" vertical="center"/>
    </xf>
    <xf numFmtId="0" fontId="41" fillId="2" borderId="59" xfId="0" applyFont="1" applyFill="1" applyBorder="1" applyAlignment="1">
      <alignment horizontal="center" vertical="center"/>
    </xf>
    <xf numFmtId="0" fontId="40" fillId="0" borderId="59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40" fillId="0" borderId="3" xfId="0" applyFont="1" applyBorder="1"/>
    <xf numFmtId="0" fontId="40" fillId="0" borderId="6" xfId="0" applyFont="1" applyBorder="1"/>
    <xf numFmtId="0" fontId="40" fillId="0" borderId="8" xfId="0" applyFont="1" applyBorder="1"/>
    <xf numFmtId="0" fontId="51" fillId="3" borderId="17" xfId="0" applyFont="1" applyFill="1" applyBorder="1" applyAlignment="1">
      <alignment horizontal="center" vertical="center" wrapText="1"/>
    </xf>
    <xf numFmtId="0" fontId="40" fillId="0" borderId="19" xfId="0" applyFont="1" applyBorder="1"/>
    <xf numFmtId="0" fontId="53" fillId="3" borderId="17" xfId="0" applyFont="1" applyFill="1" applyBorder="1" applyAlignment="1">
      <alignment horizontal="center" vertical="center" wrapText="1"/>
    </xf>
    <xf numFmtId="0" fontId="51" fillId="2" borderId="17" xfId="0" applyFont="1" applyFill="1" applyBorder="1" applyAlignment="1">
      <alignment horizontal="center" vertical="center" wrapText="1"/>
    </xf>
    <xf numFmtId="0" fontId="40" fillId="0" borderId="23" xfId="0" applyFont="1" applyBorder="1"/>
    <xf numFmtId="0" fontId="46" fillId="2" borderId="5" xfId="0" applyFont="1" applyFill="1" applyBorder="1" applyAlignment="1">
      <alignment horizontal="center" vertical="center"/>
    </xf>
    <xf numFmtId="0" fontId="46" fillId="2" borderId="34" xfId="0" applyFont="1" applyFill="1" applyBorder="1" applyAlignment="1">
      <alignment horizontal="center" vertical="center"/>
    </xf>
    <xf numFmtId="0" fontId="40" fillId="0" borderId="35" xfId="0" applyFont="1" applyBorder="1"/>
    <xf numFmtId="0" fontId="46" fillId="2" borderId="15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 wrapText="1"/>
    </xf>
    <xf numFmtId="0" fontId="40" fillId="0" borderId="33" xfId="0" applyFont="1" applyBorder="1"/>
    <xf numFmtId="0" fontId="40" fillId="0" borderId="10" xfId="0" applyFont="1" applyBorder="1"/>
    <xf numFmtId="0" fontId="51" fillId="2" borderId="15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46" fillId="2" borderId="17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/>
    </xf>
    <xf numFmtId="0" fontId="46" fillId="2" borderId="17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>
      <alignment horizontal="center" vertical="center" wrapText="1"/>
    </xf>
    <xf numFmtId="0" fontId="40" fillId="0" borderId="29" xfId="0" applyFont="1" applyBorder="1"/>
    <xf numFmtId="0" fontId="45" fillId="2" borderId="5" xfId="0" applyFont="1" applyFill="1" applyBorder="1" applyAlignment="1">
      <alignment horizontal="center" vertical="center"/>
    </xf>
    <xf numFmtId="0" fontId="51" fillId="2" borderId="5" xfId="0" applyFont="1" applyFill="1" applyBorder="1" applyAlignment="1">
      <alignment horizontal="center" vertical="center" wrapText="1"/>
    </xf>
    <xf numFmtId="0" fontId="40" fillId="0" borderId="9" xfId="0" applyFont="1" applyBorder="1"/>
    <xf numFmtId="0" fontId="45" fillId="2" borderId="20" xfId="0" applyFont="1" applyFill="1" applyBorder="1" applyAlignment="1">
      <alignment horizontal="center" vertical="center"/>
    </xf>
    <xf numFmtId="0" fontId="40" fillId="0" borderId="21" xfId="0" applyFont="1" applyBorder="1"/>
    <xf numFmtId="0" fontId="40" fillId="0" borderId="22" xfId="0" applyFont="1" applyBorder="1"/>
    <xf numFmtId="0" fontId="46" fillId="2" borderId="23" xfId="0" applyFont="1" applyFill="1" applyBorder="1" applyAlignment="1">
      <alignment horizontal="center" vertical="center"/>
    </xf>
    <xf numFmtId="0" fontId="46" fillId="2" borderId="24" xfId="0" applyFont="1" applyFill="1" applyBorder="1" applyAlignment="1">
      <alignment horizontal="center" vertical="center"/>
    </xf>
    <xf numFmtId="0" fontId="40" fillId="0" borderId="11" xfId="0" applyFont="1" applyBorder="1"/>
    <xf numFmtId="0" fontId="54" fillId="2" borderId="5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 wrapText="1"/>
    </xf>
    <xf numFmtId="0" fontId="56" fillId="2" borderId="5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0" fontId="52" fillId="2" borderId="5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53" fillId="2" borderId="17" xfId="0" applyFont="1" applyFill="1" applyBorder="1" applyAlignment="1">
      <alignment horizontal="center" vertical="center" wrapText="1"/>
    </xf>
    <xf numFmtId="0" fontId="1" fillId="27" borderId="50" xfId="0" applyFont="1" applyFill="1" applyBorder="1" applyAlignment="1">
      <alignment horizontal="center" vertical="center"/>
    </xf>
    <xf numFmtId="0" fontId="1" fillId="27" borderId="57" xfId="0" applyFont="1" applyFill="1" applyBorder="1" applyAlignment="1">
      <alignment horizontal="center" vertical="center"/>
    </xf>
    <xf numFmtId="0" fontId="1" fillId="27" borderId="47" xfId="0" applyFont="1" applyFill="1" applyBorder="1" applyAlignment="1">
      <alignment horizontal="center" vertical="center"/>
    </xf>
    <xf numFmtId="0" fontId="1" fillId="27" borderId="42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0" fontId="52" fillId="3" borderId="5" xfId="0" applyFont="1" applyFill="1" applyBorder="1" applyAlignment="1">
      <alignment horizontal="center" vertical="center"/>
    </xf>
    <xf numFmtId="0" fontId="51" fillId="3" borderId="5" xfId="0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 wrapText="1"/>
    </xf>
    <xf numFmtId="0" fontId="46" fillId="3" borderId="17" xfId="0" applyFont="1" applyFill="1" applyBorder="1" applyAlignment="1">
      <alignment horizontal="center" vertical="center" wrapText="1"/>
    </xf>
    <xf numFmtId="0" fontId="51" fillId="2" borderId="30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0" fontId="54" fillId="3" borderId="5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0" fillId="0" borderId="38" xfId="0" applyFont="1" applyBorder="1"/>
    <xf numFmtId="0" fontId="40" fillId="0" borderId="39" xfId="0" applyFont="1" applyBorder="1"/>
    <xf numFmtId="0" fontId="46" fillId="3" borderId="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51" fillId="3" borderId="23" xfId="0" applyFont="1" applyFill="1" applyBorder="1" applyAlignment="1">
      <alignment horizontal="center" vertical="center" wrapText="1"/>
    </xf>
    <xf numFmtId="0" fontId="46" fillId="3" borderId="34" xfId="0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center" vertical="center" wrapText="1"/>
    </xf>
    <xf numFmtId="0" fontId="51" fillId="3" borderId="30" xfId="0" applyFont="1" applyFill="1" applyBorder="1" applyAlignment="1">
      <alignment horizontal="center" vertical="center" wrapText="1"/>
    </xf>
    <xf numFmtId="0" fontId="40" fillId="0" borderId="59" xfId="0" applyFont="1" applyBorder="1"/>
    <xf numFmtId="0" fontId="51" fillId="3" borderId="59" xfId="0" applyFont="1" applyFill="1" applyBorder="1" applyAlignment="1">
      <alignment horizontal="center" vertical="center" wrapText="1"/>
    </xf>
    <xf numFmtId="0" fontId="46" fillId="3" borderId="23" xfId="0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5" fillId="3" borderId="81" xfId="0" applyFont="1" applyFill="1" applyBorder="1" applyAlignment="1">
      <alignment horizontal="center" vertical="center"/>
    </xf>
    <xf numFmtId="0" fontId="40" fillId="0" borderId="90" xfId="0" applyFont="1" applyBorder="1"/>
    <xf numFmtId="0" fontId="40" fillId="0" borderId="82" xfId="0" applyFont="1" applyBorder="1"/>
    <xf numFmtId="0" fontId="40" fillId="0" borderId="54" xfId="0" applyFont="1" applyBorder="1"/>
    <xf numFmtId="0" fontId="46" fillId="3" borderId="13" xfId="0" applyFont="1" applyFill="1" applyBorder="1" applyAlignment="1">
      <alignment horizontal="center" vertical="center"/>
    </xf>
    <xf numFmtId="0" fontId="46" fillId="3" borderId="23" xfId="0" applyFont="1" applyFill="1" applyBorder="1" applyAlignment="1">
      <alignment horizontal="center" vertical="center" wrapText="1"/>
    </xf>
    <xf numFmtId="0" fontId="40" fillId="0" borderId="47" xfId="0" applyFont="1" applyBorder="1"/>
    <xf numFmtId="0" fontId="40" fillId="0" borderId="48" xfId="0" applyFont="1" applyBorder="1"/>
    <xf numFmtId="0" fontId="8" fillId="2" borderId="17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19" xfId="0" applyFont="1" applyBorder="1"/>
    <xf numFmtId="0" fontId="11" fillId="2" borderId="17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/>
    </xf>
    <xf numFmtId="0" fontId="2" fillId="0" borderId="35" xfId="0" applyFont="1" applyBorder="1"/>
    <xf numFmtId="0" fontId="9" fillId="5" borderId="25" xfId="0" applyFont="1" applyFill="1" applyBorder="1" applyAlignment="1">
      <alignment horizontal="center" vertical="center"/>
    </xf>
    <xf numFmtId="0" fontId="2" fillId="0" borderId="38" xfId="0" applyFont="1" applyBorder="1"/>
    <xf numFmtId="0" fontId="2" fillId="0" borderId="39" xfId="0" applyFont="1" applyBorder="1"/>
    <xf numFmtId="0" fontId="9" fillId="5" borderId="3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10" xfId="0" applyFont="1" applyBorder="1"/>
    <xf numFmtId="49" fontId="17" fillId="2" borderId="5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2" fillId="0" borderId="52" xfId="0" applyFont="1" applyBorder="1"/>
    <xf numFmtId="0" fontId="18" fillId="2" borderId="5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9" fillId="8" borderId="1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2" fillId="0" borderId="11" xfId="0" applyFont="1" applyBorder="1"/>
    <xf numFmtId="0" fontId="10" fillId="8" borderId="5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/>
    <xf numFmtId="0" fontId="2" fillId="0" borderId="8" xfId="0" applyFont="1" applyBorder="1"/>
    <xf numFmtId="0" fontId="6" fillId="5" borderId="47" xfId="0" applyFont="1" applyFill="1" applyBorder="1" applyAlignment="1">
      <alignment horizontal="center" vertical="center"/>
    </xf>
    <xf numFmtId="0" fontId="2" fillId="0" borderId="48" xfId="0" applyFont="1" applyBorder="1"/>
    <xf numFmtId="0" fontId="6" fillId="2" borderId="45" xfId="0" applyFont="1" applyFill="1" applyBorder="1" applyAlignment="1">
      <alignment horizontal="center" vertical="center"/>
    </xf>
    <xf numFmtId="0" fontId="2" fillId="0" borderId="46" xfId="0" applyFont="1" applyBorder="1"/>
    <xf numFmtId="0" fontId="1" fillId="2" borderId="50" xfId="0" applyFont="1" applyFill="1" applyBorder="1" applyAlignment="1">
      <alignment horizontal="center" vertical="center"/>
    </xf>
    <xf numFmtId="0" fontId="2" fillId="0" borderId="22" xfId="0" applyFont="1" applyBorder="1"/>
    <xf numFmtId="0" fontId="16" fillId="7" borderId="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3" xfId="0" applyFont="1" applyBorder="1"/>
    <xf numFmtId="0" fontId="2" fillId="0" borderId="2" xfId="0" applyFont="1" applyBorder="1"/>
    <xf numFmtId="0" fontId="2" fillId="0" borderId="7" xfId="0" applyFont="1" applyBorder="1"/>
    <xf numFmtId="0" fontId="4" fillId="4" borderId="5" xfId="0" applyFont="1" applyFill="1" applyBorder="1" applyAlignment="1">
      <alignment horizontal="center" vertical="center"/>
    </xf>
    <xf numFmtId="15" fontId="4" fillId="4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2" fillId="0" borderId="54" xfId="0" applyFont="1" applyBorder="1"/>
    <xf numFmtId="0" fontId="7" fillId="2" borderId="4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19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5" fontId="4" fillId="2" borderId="5" xfId="0" applyNumberFormat="1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15" fontId="4" fillId="10" borderId="5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9" fillId="12" borderId="34" xfId="0" applyFont="1" applyFill="1" applyBorder="1" applyAlignment="1">
      <alignment horizontal="center" vertical="center" wrapText="1"/>
    </xf>
    <xf numFmtId="0" fontId="9" fillId="12" borderId="34" xfId="0" applyFont="1" applyFill="1" applyBorder="1" applyAlignment="1">
      <alignment horizontal="center" vertical="center"/>
    </xf>
    <xf numFmtId="0" fontId="51" fillId="20" borderId="54" xfId="0" applyFont="1" applyFill="1" applyBorder="1" applyAlignment="1">
      <alignment horizontal="center" vertical="center" wrapText="1"/>
    </xf>
    <xf numFmtId="0" fontId="51" fillId="20" borderId="87" xfId="0" applyFont="1" applyFill="1" applyBorder="1" applyAlignment="1">
      <alignment horizontal="center" vertical="center" wrapText="1"/>
    </xf>
    <xf numFmtId="0" fontId="40" fillId="21" borderId="83" xfId="0" applyFont="1" applyFill="1" applyBorder="1"/>
    <xf numFmtId="0" fontId="40" fillId="21" borderId="89" xfId="0" applyFont="1" applyFill="1" applyBorder="1"/>
    <xf numFmtId="0" fontId="51" fillId="20" borderId="57" xfId="0" applyFont="1" applyFill="1" applyBorder="1" applyAlignment="1">
      <alignment horizontal="center" vertical="center" wrapText="1"/>
    </xf>
    <xf numFmtId="0" fontId="40" fillId="21" borderId="43" xfId="0" applyFont="1" applyFill="1" applyBorder="1"/>
    <xf numFmtId="0" fontId="51" fillId="20" borderId="48" xfId="0" applyFont="1" applyFill="1" applyBorder="1" applyAlignment="1">
      <alignment horizontal="center" vertical="center" wrapText="1"/>
    </xf>
    <xf numFmtId="0" fontId="51" fillId="20" borderId="47" xfId="0" applyFont="1" applyFill="1" applyBorder="1" applyAlignment="1">
      <alignment horizontal="center" vertical="center" wrapText="1"/>
    </xf>
    <xf numFmtId="0" fontId="40" fillId="21" borderId="93" xfId="0" applyFont="1" applyFill="1" applyBorder="1" applyAlignment="1">
      <alignment horizontal="center" vertical="center" wrapText="1"/>
    </xf>
    <xf numFmtId="0" fontId="40" fillId="21" borderId="94" xfId="0" applyFont="1" applyFill="1" applyBorder="1" applyAlignment="1">
      <alignment horizontal="center" vertical="center" wrapText="1"/>
    </xf>
    <xf numFmtId="0" fontId="40" fillId="21" borderId="95" xfId="0" applyFont="1" applyFill="1" applyBorder="1" applyAlignment="1">
      <alignment horizontal="center" vertical="center" wrapText="1"/>
    </xf>
    <xf numFmtId="0" fontId="40" fillId="21" borderId="59" xfId="0" applyFont="1" applyFill="1" applyBorder="1"/>
    <xf numFmtId="0" fontId="53" fillId="23" borderId="45" xfId="0" applyFont="1" applyFill="1" applyBorder="1" applyAlignment="1">
      <alignment horizontal="center" vertical="center" wrapText="1"/>
    </xf>
    <xf numFmtId="0" fontId="43" fillId="20" borderId="85" xfId="0" applyFont="1" applyFill="1" applyBorder="1" applyAlignment="1">
      <alignment horizontal="center" vertical="center"/>
    </xf>
    <xf numFmtId="0" fontId="44" fillId="21" borderId="86" xfId="0" applyFont="1" applyFill="1" applyBorder="1"/>
    <xf numFmtId="0" fontId="44" fillId="21" borderId="87" xfId="0" applyFont="1" applyFill="1" applyBorder="1"/>
    <xf numFmtId="0" fontId="44" fillId="21" borderId="84" xfId="0" applyFont="1" applyFill="1" applyBorder="1"/>
    <xf numFmtId="0" fontId="44" fillId="21" borderId="42" xfId="0" applyFont="1" applyFill="1" applyBorder="1"/>
    <xf numFmtId="0" fontId="44" fillId="21" borderId="88" xfId="0" applyFont="1" applyFill="1" applyBorder="1"/>
    <xf numFmtId="0" fontId="44" fillId="21" borderId="89" xfId="0" applyFont="1" applyFill="1" applyBorder="1"/>
    <xf numFmtId="0" fontId="4" fillId="20" borderId="5" xfId="0" applyFont="1" applyFill="1" applyBorder="1" applyAlignment="1">
      <alignment horizontal="center" vertical="center"/>
    </xf>
    <xf numFmtId="0" fontId="2" fillId="21" borderId="4" xfId="0" applyFont="1" applyFill="1" applyBorder="1"/>
    <xf numFmtId="15" fontId="4" fillId="20" borderId="5" xfId="0" applyNumberFormat="1" applyFont="1" applyFill="1" applyBorder="1" applyAlignment="1">
      <alignment horizontal="center" vertical="center"/>
    </xf>
    <xf numFmtId="0" fontId="48" fillId="21" borderId="84" xfId="0" applyFont="1" applyFill="1" applyBorder="1" applyAlignment="1">
      <alignment horizontal="center"/>
    </xf>
    <xf numFmtId="0" fontId="48" fillId="21" borderId="48" xfId="0" applyFont="1" applyFill="1" applyBorder="1" applyAlignment="1">
      <alignment horizontal="center"/>
    </xf>
    <xf numFmtId="0" fontId="41" fillId="23" borderId="81" xfId="0" applyFont="1" applyFill="1" applyBorder="1" applyAlignment="1">
      <alignment horizontal="center" vertical="center"/>
    </xf>
    <xf numFmtId="0" fontId="41" fillId="23" borderId="90" xfId="0" applyFont="1" applyFill="1" applyBorder="1" applyAlignment="1">
      <alignment horizontal="center" vertical="center"/>
    </xf>
    <xf numFmtId="0" fontId="41" fillId="23" borderId="82" xfId="0" applyFont="1" applyFill="1" applyBorder="1" applyAlignment="1">
      <alignment horizontal="center" vertical="center"/>
    </xf>
    <xf numFmtId="0" fontId="50" fillId="24" borderId="47" xfId="0" applyFont="1" applyFill="1" applyBorder="1" applyAlignment="1">
      <alignment horizontal="center" vertical="center" wrapText="1"/>
    </xf>
    <xf numFmtId="0" fontId="40" fillId="21" borderId="82" xfId="0" applyFont="1" applyFill="1" applyBorder="1"/>
    <xf numFmtId="0" fontId="42" fillId="20" borderId="92" xfId="0" applyFont="1" applyFill="1" applyBorder="1" applyAlignment="1">
      <alignment horizontal="center" vertical="center"/>
    </xf>
    <xf numFmtId="0" fontId="42" fillId="20" borderId="91" xfId="0" applyFont="1" applyFill="1" applyBorder="1" applyAlignment="1">
      <alignment horizontal="center" vertical="center"/>
    </xf>
    <xf numFmtId="0" fontId="47" fillId="23" borderId="86" xfId="0" applyFont="1" applyFill="1" applyBorder="1" applyAlignment="1">
      <alignment horizontal="center" vertical="center"/>
    </xf>
    <xf numFmtId="0" fontId="47" fillId="23" borderId="91" xfId="0" applyFont="1" applyFill="1" applyBorder="1" applyAlignment="1">
      <alignment horizontal="center" vertical="center"/>
    </xf>
    <xf numFmtId="0" fontId="52" fillId="28" borderId="81" xfId="0" applyFont="1" applyFill="1" applyBorder="1" applyAlignment="1">
      <alignment horizontal="center" vertical="center"/>
    </xf>
    <xf numFmtId="0" fontId="52" fillId="28" borderId="90" xfId="0" applyFont="1" applyFill="1" applyBorder="1" applyAlignment="1">
      <alignment horizontal="center" vertical="center"/>
    </xf>
    <xf numFmtId="0" fontId="52" fillId="28" borderId="82" xfId="0" applyFont="1" applyFill="1" applyBorder="1" applyAlignment="1">
      <alignment horizontal="center" vertical="center"/>
    </xf>
    <xf numFmtId="0" fontId="46" fillId="3" borderId="59" xfId="0" applyFont="1" applyFill="1" applyBorder="1" applyAlignment="1">
      <alignment horizontal="center" vertical="center"/>
    </xf>
    <xf numFmtId="0" fontId="51" fillId="3" borderId="49" xfId="0" applyFont="1" applyFill="1" applyBorder="1" applyAlignment="1">
      <alignment horizontal="center" vertical="center" wrapText="1"/>
    </xf>
    <xf numFmtId="0" fontId="40" fillId="0" borderId="58" xfId="0" applyFont="1" applyBorder="1"/>
    <xf numFmtId="0" fontId="51" fillId="2" borderId="49" xfId="0" applyFont="1" applyFill="1" applyBorder="1" applyAlignment="1">
      <alignment horizontal="center" vertical="center" wrapText="1"/>
    </xf>
    <xf numFmtId="0" fontId="46" fillId="2" borderId="59" xfId="0" applyFont="1" applyFill="1" applyBorder="1" applyAlignment="1">
      <alignment horizontal="center" vertical="center"/>
    </xf>
    <xf numFmtId="0" fontId="46" fillId="3" borderId="49" xfId="0" applyFont="1" applyFill="1" applyBorder="1" applyAlignment="1">
      <alignment horizontal="center" vertical="center"/>
    </xf>
    <xf numFmtId="0" fontId="46" fillId="3" borderId="54" xfId="0" applyFont="1" applyFill="1" applyBorder="1" applyAlignment="1">
      <alignment horizontal="center" vertical="center"/>
    </xf>
    <xf numFmtId="0" fontId="51" fillId="3" borderId="54" xfId="0" applyFont="1" applyFill="1" applyBorder="1" applyAlignment="1">
      <alignment horizontal="center" vertical="center" wrapText="1"/>
    </xf>
    <xf numFmtId="0" fontId="51" fillId="2" borderId="50" xfId="0" applyFont="1" applyFill="1" applyBorder="1" applyAlignment="1">
      <alignment horizontal="center" vertical="center" wrapText="1"/>
    </xf>
    <xf numFmtId="0" fontId="40" fillId="0" borderId="45" xfId="0" applyFont="1" applyBorder="1"/>
    <xf numFmtId="0" fontId="51" fillId="3" borderId="37" xfId="0" applyFont="1" applyFill="1" applyBorder="1" applyAlignment="1">
      <alignment horizontal="center" vertical="center" wrapText="1"/>
    </xf>
    <xf numFmtId="0" fontId="40" fillId="0" borderId="36" xfId="0" applyFont="1" applyBorder="1"/>
    <xf numFmtId="0" fontId="46" fillId="3" borderId="42" xfId="0" applyFont="1" applyFill="1" applyBorder="1" applyAlignment="1">
      <alignment horizontal="center" vertical="center"/>
    </xf>
    <xf numFmtId="0" fontId="40" fillId="0" borderId="43" xfId="0" applyFont="1" applyBorder="1"/>
    <xf numFmtId="0" fontId="54" fillId="3" borderId="37" xfId="0" applyFont="1" applyFill="1" applyBorder="1" applyAlignment="1">
      <alignment horizontal="center" vertical="center"/>
    </xf>
    <xf numFmtId="0" fontId="46" fillId="3" borderId="50" xfId="0" applyFont="1" applyFill="1" applyBorder="1" applyAlignment="1">
      <alignment horizontal="center" vertical="center"/>
    </xf>
    <xf numFmtId="0" fontId="40" fillId="0" borderId="25" xfId="0" applyFont="1" applyBorder="1"/>
    <xf numFmtId="0" fontId="40" fillId="0" borderId="53" xfId="0" applyFont="1" applyBorder="1"/>
    <xf numFmtId="0" fontId="46" fillId="3" borderId="49" xfId="0" applyFont="1" applyFill="1" applyBorder="1" applyAlignment="1">
      <alignment horizontal="center" vertical="center" wrapText="1"/>
    </xf>
    <xf numFmtId="0" fontId="45" fillId="3" borderId="37" xfId="0" applyFont="1" applyFill="1" applyBorder="1" applyAlignment="1">
      <alignment horizontal="center" vertical="center"/>
    </xf>
    <xf numFmtId="0" fontId="45" fillId="3" borderId="57" xfId="0" applyFont="1" applyFill="1" applyBorder="1" applyAlignment="1">
      <alignment horizontal="center" vertical="center"/>
    </xf>
    <xf numFmtId="0" fontId="40" fillId="0" borderId="57" xfId="0" applyFont="1" applyBorder="1"/>
    <xf numFmtId="0" fontId="53" fillId="3" borderId="49" xfId="0" applyFont="1" applyFill="1" applyBorder="1" applyAlignment="1">
      <alignment horizontal="center" vertical="center" wrapText="1"/>
    </xf>
    <xf numFmtId="0" fontId="41" fillId="3" borderId="37" xfId="0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center" vertical="center"/>
    </xf>
    <xf numFmtId="0" fontId="53" fillId="3" borderId="5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26" fillId="14" borderId="17" xfId="0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13" borderId="5" xfId="0" applyFont="1" applyFill="1" applyBorder="1" applyAlignment="1">
      <alignment horizontal="center"/>
    </xf>
    <xf numFmtId="0" fontId="9" fillId="13" borderId="50" xfId="0" applyFont="1" applyFill="1" applyBorder="1" applyAlignment="1">
      <alignment horizontal="center"/>
    </xf>
    <xf numFmtId="0" fontId="38" fillId="13" borderId="1" xfId="0" applyFont="1" applyFill="1" applyBorder="1" applyAlignment="1">
      <alignment horizontal="center" wrapText="1"/>
    </xf>
    <xf numFmtId="0" fontId="8" fillId="13" borderId="5" xfId="0" applyFont="1" applyFill="1" applyBorder="1" applyAlignment="1">
      <alignment horizontal="center"/>
    </xf>
    <xf numFmtId="0" fontId="33" fillId="17" borderId="5" xfId="0" applyFont="1" applyFill="1" applyBorder="1" applyAlignment="1">
      <alignment horizontal="center"/>
    </xf>
    <xf numFmtId="0" fontId="35" fillId="14" borderId="5" xfId="0" applyFont="1" applyFill="1" applyBorder="1" applyAlignment="1">
      <alignment horizontal="center"/>
    </xf>
    <xf numFmtId="0" fontId="26" fillId="14" borderId="30" xfId="0" applyFont="1" applyFill="1" applyBorder="1" applyAlignment="1">
      <alignment horizontal="center" vertical="center"/>
    </xf>
  </cellXfs>
  <cellStyles count="1">
    <cellStyle name="Normal" xfId="0" builtinId="0"/>
  </cellStyles>
  <dxfs count="409"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>
          <f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  <dxf>
      <font>
        <b/>
        <i/>
      </font>
      <fill>
        <patternFill patternType="solid">
          <fgColor rgb="FFFF0000"/>
          <bgColor rgb="FFFF0000"/>
        </patternFill>
      </fill>
    </dxf>
    <dxf>
      <font>
        <b/>
        <i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36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customschemas.google.com/relationships/workbookmetadata" Target="metadata"/><Relationship Id="rId30" Type="http://schemas.openxmlformats.org/officeDocument/2006/relationships/sharedStrings" Target="sharedStrings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2324100</xdr:colOff>
      <xdr:row>0</xdr:row>
      <xdr:rowOff>9525</xdr:rowOff>
    </xdr:from>
    <xdr:ext cx="3543300" cy="1962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81450" cy="22860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91025" cy="249555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05300" cy="24765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1543050</xdr:colOff>
      <xdr:row>0</xdr:row>
      <xdr:rowOff>0</xdr:rowOff>
    </xdr:from>
    <xdr:ext cx="2657475" cy="2333625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00525" cy="2105025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76725" cy="21145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4257675" cy="2105025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971550</xdr:colOff>
      <xdr:row>0</xdr:row>
      <xdr:rowOff>314325</xdr:rowOff>
    </xdr:from>
    <xdr:ext cx="1276350" cy="112395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ejoraregulatoria/Downloads/MIRS%20GOBIERNO%20DE%20ZAPOTLANEJO.xlsx" TargetMode="External"/><Relationship Id="rId1" Type="http://schemas.openxmlformats.org/officeDocument/2006/relationships/externalLinkPath" Target="/Users/mejoraregulatoria/Downloads/MIRS%20GOBIERNO%20DE%20ZAPOTLANEJ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D SECRETARIA1"/>
    </sheetNames>
    <sheetDataSet>
      <sheetData sheetId="0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9"/>
  <sheetViews>
    <sheetView showGridLines="0" topLeftCell="E1" workbookViewId="0">
      <selection activeCell="H3" sqref="H3:J3"/>
    </sheetView>
  </sheetViews>
  <sheetFormatPr baseColWidth="10" defaultColWidth="11.125" defaultRowHeight="15" customHeight="1"/>
  <cols>
    <col min="1" max="1" width="22.625" style="109" customWidth="1"/>
    <col min="2" max="2" width="25.125" style="109" customWidth="1"/>
    <col min="3" max="3" width="26" style="109" customWidth="1"/>
    <col min="4" max="4" width="26.5" style="109" customWidth="1"/>
    <col min="5" max="5" width="35.125" style="109" customWidth="1"/>
    <col min="6" max="6" width="10.875" style="109" customWidth="1"/>
    <col min="7" max="7" width="19.125" style="109" customWidth="1"/>
    <col min="8" max="8" width="30.375" style="109" customWidth="1"/>
    <col min="9" max="9" width="36.375" style="109" customWidth="1"/>
    <col min="10" max="10" width="29.5" style="109" customWidth="1"/>
    <col min="11" max="16384" width="11.125" style="109"/>
  </cols>
  <sheetData>
    <row r="1" spans="1:10" ht="57.75" customHeight="1" thickBot="1">
      <c r="A1" s="266" t="e" vm="1">
        <v>#VALUE!</v>
      </c>
      <c r="B1" s="267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1.25" customHeight="1" thickBot="1">
      <c r="A2" s="268"/>
      <c r="B2" s="269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33.950000000000003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38.1" customHeight="1" thickBot="1">
      <c r="A4" s="110" t="s">
        <v>6</v>
      </c>
      <c r="B4" s="261" t="s">
        <v>7</v>
      </c>
      <c r="C4" s="213"/>
      <c r="D4" s="111" t="s">
        <v>8</v>
      </c>
      <c r="E4" s="112" t="s">
        <v>9</v>
      </c>
      <c r="F4" s="260" t="s">
        <v>10</v>
      </c>
      <c r="G4" s="219"/>
      <c r="H4" s="113">
        <v>21000000</v>
      </c>
      <c r="I4" s="114" t="s">
        <v>11</v>
      </c>
      <c r="J4" s="115">
        <v>20876056.300000001</v>
      </c>
    </row>
    <row r="5" spans="1:10" ht="36.950000000000003" customHeight="1">
      <c r="A5" s="262" t="s">
        <v>12</v>
      </c>
      <c r="B5" s="213"/>
      <c r="C5" s="263" t="s">
        <v>13</v>
      </c>
      <c r="D5" s="252"/>
      <c r="E5" s="213"/>
      <c r="F5" s="264" t="s">
        <v>14</v>
      </c>
      <c r="G5" s="228"/>
      <c r="H5" s="234" t="s">
        <v>15</v>
      </c>
      <c r="I5" s="265" t="s">
        <v>16</v>
      </c>
      <c r="J5" s="234" t="s">
        <v>17</v>
      </c>
    </row>
    <row r="6" spans="1:10" ht="72" customHeight="1">
      <c r="A6" s="112" t="s">
        <v>18</v>
      </c>
      <c r="B6" s="116" t="s">
        <v>19</v>
      </c>
      <c r="C6" s="117" t="s">
        <v>20</v>
      </c>
      <c r="D6" s="118" t="s">
        <v>21</v>
      </c>
      <c r="E6" s="117" t="s">
        <v>22</v>
      </c>
      <c r="F6" s="229"/>
      <c r="G6" s="230"/>
      <c r="H6" s="232"/>
      <c r="I6" s="232"/>
      <c r="J6" s="232"/>
    </row>
    <row r="7" spans="1:10" ht="116.1" customHeight="1">
      <c r="A7" s="250" t="s">
        <v>23</v>
      </c>
      <c r="B7" s="213"/>
      <c r="C7" s="251" t="s">
        <v>1056</v>
      </c>
      <c r="D7" s="252"/>
      <c r="E7" s="213"/>
      <c r="F7" s="253" t="s">
        <v>24</v>
      </c>
      <c r="G7" s="254"/>
      <c r="H7" s="255"/>
      <c r="I7" s="251" t="s">
        <v>25</v>
      </c>
      <c r="J7" s="213"/>
    </row>
    <row r="8" spans="1:10" ht="15.75" customHeight="1">
      <c r="A8" s="256" t="s">
        <v>26</v>
      </c>
      <c r="B8" s="257" t="s">
        <v>27</v>
      </c>
      <c r="C8" s="259" t="s">
        <v>28</v>
      </c>
      <c r="D8" s="252"/>
      <c r="E8" s="213"/>
      <c r="F8" s="246" t="s">
        <v>29</v>
      </c>
      <c r="G8" s="228"/>
      <c r="H8" s="247" t="s">
        <v>30</v>
      </c>
      <c r="I8" s="248" t="s">
        <v>31</v>
      </c>
      <c r="J8" s="247" t="s">
        <v>32</v>
      </c>
    </row>
    <row r="9" spans="1:10" ht="15.75" customHeight="1">
      <c r="A9" s="232"/>
      <c r="B9" s="258"/>
      <c r="C9" s="119" t="s">
        <v>33</v>
      </c>
      <c r="D9" s="120" t="s">
        <v>34</v>
      </c>
      <c r="E9" s="121" t="s">
        <v>35</v>
      </c>
      <c r="F9" s="229"/>
      <c r="G9" s="230"/>
      <c r="H9" s="232"/>
      <c r="I9" s="249"/>
      <c r="J9" s="232"/>
    </row>
    <row r="10" spans="1:10" ht="65.099999999999994" customHeight="1">
      <c r="A10" s="245" t="s">
        <v>36</v>
      </c>
      <c r="B10" s="243" t="s">
        <v>37</v>
      </c>
      <c r="C10" s="240" t="s">
        <v>38</v>
      </c>
      <c r="D10" s="234" t="s">
        <v>39</v>
      </c>
      <c r="E10" s="234" t="s">
        <v>40</v>
      </c>
      <c r="F10" s="122">
        <v>76</v>
      </c>
      <c r="G10" s="123" t="s">
        <v>41</v>
      </c>
      <c r="H10" s="234" t="s">
        <v>42</v>
      </c>
      <c r="I10" s="234" t="s">
        <v>43</v>
      </c>
      <c r="J10" s="234" t="s">
        <v>44</v>
      </c>
    </row>
    <row r="11" spans="1:10" ht="15.75" customHeight="1">
      <c r="A11" s="235"/>
      <c r="B11" s="235"/>
      <c r="C11" s="241"/>
      <c r="D11" s="235"/>
      <c r="E11" s="235"/>
      <c r="F11" s="237" t="s">
        <v>45</v>
      </c>
      <c r="G11" s="238"/>
      <c r="H11" s="235"/>
      <c r="I11" s="235"/>
      <c r="J11" s="235"/>
    </row>
    <row r="12" spans="1:10" ht="32.25" customHeight="1">
      <c r="A12" s="232"/>
      <c r="B12" s="232"/>
      <c r="C12" s="242"/>
      <c r="D12" s="232"/>
      <c r="E12" s="232"/>
      <c r="F12" s="94">
        <v>90</v>
      </c>
      <c r="G12" s="124" t="s">
        <v>46</v>
      </c>
      <c r="H12" s="232"/>
      <c r="I12" s="232"/>
      <c r="J12" s="232"/>
    </row>
    <row r="13" spans="1:10" ht="90" customHeight="1">
      <c r="A13" s="239" t="s">
        <v>47</v>
      </c>
      <c r="B13" s="234" t="s">
        <v>48</v>
      </c>
      <c r="C13" s="240" t="s">
        <v>49</v>
      </c>
      <c r="D13" s="234" t="s">
        <v>50</v>
      </c>
      <c r="E13" s="234" t="s">
        <v>40</v>
      </c>
      <c r="F13" s="94">
        <v>60</v>
      </c>
      <c r="G13" s="123" t="s">
        <v>51</v>
      </c>
      <c r="H13" s="234" t="s">
        <v>52</v>
      </c>
      <c r="I13" s="234" t="s">
        <v>53</v>
      </c>
      <c r="J13" s="234" t="s">
        <v>54</v>
      </c>
    </row>
    <row r="14" spans="1:10" ht="15.75" customHeight="1">
      <c r="A14" s="235"/>
      <c r="B14" s="235"/>
      <c r="C14" s="241"/>
      <c r="D14" s="235"/>
      <c r="E14" s="235"/>
      <c r="F14" s="237" t="s">
        <v>45</v>
      </c>
      <c r="G14" s="238"/>
      <c r="H14" s="235"/>
      <c r="I14" s="235"/>
      <c r="J14" s="235"/>
    </row>
    <row r="15" spans="1:10" ht="102" customHeight="1">
      <c r="A15" s="232"/>
      <c r="B15" s="232"/>
      <c r="C15" s="242"/>
      <c r="D15" s="232"/>
      <c r="E15" s="232"/>
      <c r="F15" s="97">
        <v>75</v>
      </c>
      <c r="G15" s="124" t="s">
        <v>55</v>
      </c>
      <c r="H15" s="232"/>
      <c r="I15" s="232"/>
      <c r="J15" s="232"/>
    </row>
    <row r="16" spans="1:10" ht="15.75" customHeight="1">
      <c r="A16" s="245" t="s">
        <v>56</v>
      </c>
      <c r="B16" s="243" t="s">
        <v>57</v>
      </c>
      <c r="C16" s="244" t="s">
        <v>58</v>
      </c>
      <c r="D16" s="234" t="s">
        <v>59</v>
      </c>
      <c r="E16" s="234" t="s">
        <v>40</v>
      </c>
      <c r="F16" s="94">
        <v>100</v>
      </c>
      <c r="G16" s="125" t="s">
        <v>60</v>
      </c>
      <c r="H16" s="234" t="s">
        <v>61</v>
      </c>
      <c r="I16" s="234" t="s">
        <v>62</v>
      </c>
      <c r="J16" s="234" t="s">
        <v>63</v>
      </c>
    </row>
    <row r="17" spans="1:10" ht="15.75" customHeight="1">
      <c r="A17" s="235"/>
      <c r="B17" s="235"/>
      <c r="C17" s="235"/>
      <c r="D17" s="235"/>
      <c r="E17" s="235"/>
      <c r="F17" s="237" t="s">
        <v>45</v>
      </c>
      <c r="G17" s="238"/>
      <c r="H17" s="235"/>
      <c r="I17" s="235"/>
      <c r="J17" s="235"/>
    </row>
    <row r="18" spans="1:10" ht="53.25" customHeight="1">
      <c r="A18" s="235"/>
      <c r="B18" s="232"/>
      <c r="C18" s="232"/>
      <c r="D18" s="232"/>
      <c r="E18" s="232"/>
      <c r="F18" s="126">
        <v>100</v>
      </c>
      <c r="G18" s="127" t="s">
        <v>64</v>
      </c>
      <c r="H18" s="232"/>
      <c r="I18" s="232"/>
      <c r="J18" s="232"/>
    </row>
    <row r="19" spans="1:10" ht="15.75" customHeight="1">
      <c r="A19" s="235"/>
      <c r="B19" s="234" t="s">
        <v>65</v>
      </c>
      <c r="C19" s="244" t="s">
        <v>66</v>
      </c>
      <c r="D19" s="234" t="s">
        <v>59</v>
      </c>
      <c r="E19" s="234" t="s">
        <v>40</v>
      </c>
      <c r="F19" s="94">
        <v>100</v>
      </c>
      <c r="G19" s="125" t="s">
        <v>60</v>
      </c>
      <c r="H19" s="234" t="s">
        <v>67</v>
      </c>
      <c r="I19" s="234" t="s">
        <v>62</v>
      </c>
      <c r="J19" s="234" t="s">
        <v>68</v>
      </c>
    </row>
    <row r="20" spans="1:10" ht="15.75" customHeight="1">
      <c r="A20" s="235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87" customHeight="1">
      <c r="A21" s="235"/>
      <c r="B21" s="232"/>
      <c r="C21" s="232"/>
      <c r="D21" s="232"/>
      <c r="E21" s="232"/>
      <c r="F21" s="128">
        <v>100</v>
      </c>
      <c r="G21" s="127" t="s">
        <v>64</v>
      </c>
      <c r="H21" s="232"/>
      <c r="I21" s="232"/>
      <c r="J21" s="232"/>
    </row>
    <row r="22" spans="1:10" ht="66" customHeight="1">
      <c r="A22" s="235"/>
      <c r="B22" s="243" t="s">
        <v>69</v>
      </c>
      <c r="C22" s="244" t="s">
        <v>70</v>
      </c>
      <c r="D22" s="234" t="s">
        <v>59</v>
      </c>
      <c r="E22" s="234" t="s">
        <v>40</v>
      </c>
      <c r="F22" s="94">
        <v>100</v>
      </c>
      <c r="G22" s="125" t="s">
        <v>60</v>
      </c>
      <c r="H22" s="234" t="s">
        <v>71</v>
      </c>
      <c r="I22" s="234" t="s">
        <v>72</v>
      </c>
      <c r="J22" s="234" t="s">
        <v>73</v>
      </c>
    </row>
    <row r="23" spans="1:10" ht="15.75" customHeight="1">
      <c r="A23" s="235"/>
      <c r="B23" s="235"/>
      <c r="C23" s="235"/>
      <c r="D23" s="235"/>
      <c r="E23" s="235"/>
      <c r="F23" s="237" t="s">
        <v>45</v>
      </c>
      <c r="G23" s="238"/>
      <c r="H23" s="235"/>
      <c r="I23" s="235"/>
      <c r="J23" s="235"/>
    </row>
    <row r="24" spans="1:10" ht="91.5" customHeight="1">
      <c r="A24" s="235"/>
      <c r="B24" s="232"/>
      <c r="C24" s="232"/>
      <c r="D24" s="232"/>
      <c r="E24" s="232"/>
      <c r="F24" s="128">
        <v>100</v>
      </c>
      <c r="G24" s="127" t="s">
        <v>64</v>
      </c>
      <c r="H24" s="232"/>
      <c r="I24" s="232"/>
      <c r="J24" s="232"/>
    </row>
    <row r="25" spans="1:10" ht="102" customHeight="1">
      <c r="A25" s="235"/>
      <c r="B25" s="234" t="s">
        <v>74</v>
      </c>
      <c r="C25" s="244" t="s">
        <v>75</v>
      </c>
      <c r="D25" s="234" t="s">
        <v>59</v>
      </c>
      <c r="E25" s="234" t="s">
        <v>76</v>
      </c>
      <c r="F25" s="94">
        <v>100</v>
      </c>
      <c r="G25" s="125" t="s">
        <v>77</v>
      </c>
      <c r="H25" s="234" t="s">
        <v>78</v>
      </c>
      <c r="I25" s="234" t="s">
        <v>76</v>
      </c>
      <c r="J25" s="234" t="s">
        <v>79</v>
      </c>
    </row>
    <row r="26" spans="1:10" ht="15.75" customHeight="1">
      <c r="A26" s="235"/>
      <c r="B26" s="235"/>
      <c r="C26" s="235"/>
      <c r="D26" s="235"/>
      <c r="E26" s="235"/>
      <c r="F26" s="237" t="s">
        <v>45</v>
      </c>
      <c r="G26" s="238"/>
      <c r="H26" s="235"/>
      <c r="I26" s="235"/>
      <c r="J26" s="235"/>
    </row>
    <row r="27" spans="1:10" ht="60.75" customHeight="1">
      <c r="A27" s="232"/>
      <c r="B27" s="232"/>
      <c r="C27" s="232"/>
      <c r="D27" s="232"/>
      <c r="E27" s="232"/>
      <c r="F27" s="128">
        <v>100</v>
      </c>
      <c r="G27" s="127" t="s">
        <v>64</v>
      </c>
      <c r="H27" s="232"/>
      <c r="I27" s="232"/>
      <c r="J27" s="232"/>
    </row>
    <row r="28" spans="1:10" ht="86.1" customHeight="1">
      <c r="A28" s="245" t="s">
        <v>80</v>
      </c>
      <c r="B28" s="234" t="s">
        <v>81</v>
      </c>
      <c r="C28" s="234" t="s">
        <v>82</v>
      </c>
      <c r="D28" s="234" t="s">
        <v>59</v>
      </c>
      <c r="E28" s="234" t="s">
        <v>40</v>
      </c>
      <c r="F28" s="94">
        <v>310</v>
      </c>
      <c r="G28" s="124" t="s">
        <v>83</v>
      </c>
      <c r="H28" s="234" t="s">
        <v>84</v>
      </c>
      <c r="I28" s="234" t="s">
        <v>85</v>
      </c>
      <c r="J28" s="234" t="s">
        <v>86</v>
      </c>
    </row>
    <row r="29" spans="1:10" ht="15.75" customHeight="1">
      <c r="A29" s="235"/>
      <c r="B29" s="235"/>
      <c r="C29" s="235"/>
      <c r="D29" s="235"/>
      <c r="E29" s="235"/>
      <c r="F29" s="236" t="s">
        <v>45</v>
      </c>
      <c r="G29" s="213"/>
      <c r="H29" s="235"/>
      <c r="I29" s="235"/>
      <c r="J29" s="235"/>
    </row>
    <row r="30" spans="1:10" ht="69" customHeight="1">
      <c r="A30" s="235"/>
      <c r="B30" s="232"/>
      <c r="C30" s="232"/>
      <c r="D30" s="232"/>
      <c r="E30" s="232"/>
      <c r="F30" s="94">
        <v>337</v>
      </c>
      <c r="G30" s="124" t="s">
        <v>87</v>
      </c>
      <c r="H30" s="232"/>
      <c r="I30" s="232"/>
      <c r="J30" s="232"/>
    </row>
    <row r="31" spans="1:10" ht="135" customHeight="1">
      <c r="A31" s="235"/>
      <c r="B31" s="234" t="s">
        <v>88</v>
      </c>
      <c r="C31" s="234" t="s">
        <v>89</v>
      </c>
      <c r="D31" s="234" t="s">
        <v>59</v>
      </c>
      <c r="E31" s="234" t="s">
        <v>40</v>
      </c>
      <c r="F31" s="94">
        <v>250</v>
      </c>
      <c r="G31" s="124" t="s">
        <v>90</v>
      </c>
      <c r="H31" s="234" t="s">
        <v>91</v>
      </c>
      <c r="I31" s="234" t="s">
        <v>62</v>
      </c>
      <c r="J31" s="234" t="s">
        <v>92</v>
      </c>
    </row>
    <row r="32" spans="1:10" ht="15.75" customHeight="1">
      <c r="A32" s="235"/>
      <c r="B32" s="235"/>
      <c r="C32" s="235"/>
      <c r="D32" s="235"/>
      <c r="E32" s="235"/>
      <c r="F32" s="236" t="s">
        <v>45</v>
      </c>
      <c r="G32" s="213"/>
      <c r="H32" s="235"/>
      <c r="I32" s="235"/>
      <c r="J32" s="235"/>
    </row>
    <row r="33" spans="1:10" ht="66.95" customHeight="1">
      <c r="A33" s="235"/>
      <c r="B33" s="232"/>
      <c r="C33" s="232"/>
      <c r="D33" s="232"/>
      <c r="E33" s="232"/>
      <c r="F33" s="94">
        <v>491</v>
      </c>
      <c r="G33" s="124" t="s">
        <v>93</v>
      </c>
      <c r="H33" s="232"/>
      <c r="I33" s="232"/>
      <c r="J33" s="232"/>
    </row>
    <row r="34" spans="1:10" ht="56.1" customHeight="1">
      <c r="A34" s="235"/>
      <c r="B34" s="234" t="s">
        <v>94</v>
      </c>
      <c r="C34" s="234" t="s">
        <v>95</v>
      </c>
      <c r="D34" s="234" t="s">
        <v>59</v>
      </c>
      <c r="E34" s="234" t="s">
        <v>40</v>
      </c>
      <c r="F34" s="94">
        <v>430</v>
      </c>
      <c r="G34" s="124" t="s">
        <v>96</v>
      </c>
      <c r="H34" s="234" t="s">
        <v>97</v>
      </c>
      <c r="I34" s="234" t="s">
        <v>98</v>
      </c>
      <c r="J34" s="234" t="s">
        <v>99</v>
      </c>
    </row>
    <row r="35" spans="1:10" ht="44.1" customHeight="1">
      <c r="A35" s="235"/>
      <c r="B35" s="235"/>
      <c r="C35" s="235"/>
      <c r="D35" s="235"/>
      <c r="E35" s="235"/>
      <c r="F35" s="236" t="s">
        <v>45</v>
      </c>
      <c r="G35" s="213"/>
      <c r="H35" s="235"/>
      <c r="I35" s="235"/>
      <c r="J35" s="235"/>
    </row>
    <row r="36" spans="1:10" ht="60" customHeight="1">
      <c r="A36" s="235"/>
      <c r="B36" s="232"/>
      <c r="C36" s="232"/>
      <c r="D36" s="232"/>
      <c r="E36" s="232"/>
      <c r="F36" s="94">
        <v>603</v>
      </c>
      <c r="G36" s="124" t="s">
        <v>100</v>
      </c>
      <c r="H36" s="232"/>
      <c r="I36" s="232"/>
      <c r="J36" s="232"/>
    </row>
    <row r="37" spans="1:10" ht="69.95" customHeight="1">
      <c r="A37" s="235"/>
      <c r="B37" s="234" t="s">
        <v>101</v>
      </c>
      <c r="C37" s="234" t="s">
        <v>102</v>
      </c>
      <c r="D37" s="234" t="s">
        <v>59</v>
      </c>
      <c r="E37" s="234" t="s">
        <v>40</v>
      </c>
      <c r="F37" s="94">
        <v>490</v>
      </c>
      <c r="G37" s="124" t="s">
        <v>103</v>
      </c>
      <c r="H37" s="234" t="s">
        <v>104</v>
      </c>
      <c r="I37" s="234" t="s">
        <v>105</v>
      </c>
      <c r="J37" s="234" t="s">
        <v>106</v>
      </c>
    </row>
    <row r="38" spans="1:10" ht="15.75" customHeight="1">
      <c r="A38" s="235"/>
      <c r="B38" s="235"/>
      <c r="C38" s="235"/>
      <c r="D38" s="235"/>
      <c r="E38" s="235"/>
      <c r="F38" s="236" t="s">
        <v>45</v>
      </c>
      <c r="G38" s="213"/>
      <c r="H38" s="235"/>
      <c r="I38" s="235"/>
      <c r="J38" s="235"/>
    </row>
    <row r="39" spans="1:10" ht="63.95" customHeight="1">
      <c r="A39" s="232"/>
      <c r="B39" s="232"/>
      <c r="C39" s="232"/>
      <c r="D39" s="232"/>
      <c r="E39" s="232"/>
      <c r="F39" s="94">
        <v>582</v>
      </c>
      <c r="G39" s="124" t="s">
        <v>107</v>
      </c>
      <c r="H39" s="232"/>
      <c r="I39" s="232"/>
      <c r="J39" s="232"/>
    </row>
  </sheetData>
  <mergeCells count="110">
    <mergeCell ref="I1:J1"/>
    <mergeCell ref="I2:J2"/>
    <mergeCell ref="H3:J3"/>
    <mergeCell ref="F4:G4"/>
    <mergeCell ref="B4:C4"/>
    <mergeCell ref="A5:B5"/>
    <mergeCell ref="C5:E5"/>
    <mergeCell ref="F5:G6"/>
    <mergeCell ref="H5:H6"/>
    <mergeCell ref="I5:I6"/>
    <mergeCell ref="J5:J6"/>
    <mergeCell ref="E3:G3"/>
    <mergeCell ref="A3:D3"/>
    <mergeCell ref="A1:B2"/>
    <mergeCell ref="C1:G2"/>
    <mergeCell ref="I10:I12"/>
    <mergeCell ref="J10:J12"/>
    <mergeCell ref="F8:G9"/>
    <mergeCell ref="H8:H9"/>
    <mergeCell ref="I8:I9"/>
    <mergeCell ref="J8:J9"/>
    <mergeCell ref="A7:B7"/>
    <mergeCell ref="C7:E7"/>
    <mergeCell ref="F7:H7"/>
    <mergeCell ref="I7:J7"/>
    <mergeCell ref="A8:A9"/>
    <mergeCell ref="B8:B9"/>
    <mergeCell ref="C8:E8"/>
    <mergeCell ref="H10:H12"/>
    <mergeCell ref="F11:G11"/>
    <mergeCell ref="H19:H21"/>
    <mergeCell ref="H22:H24"/>
    <mergeCell ref="A10:A12"/>
    <mergeCell ref="B10:B12"/>
    <mergeCell ref="C10:C12"/>
    <mergeCell ref="D10:D12"/>
    <mergeCell ref="E10:E12"/>
    <mergeCell ref="C37:C39"/>
    <mergeCell ref="D37:D39"/>
    <mergeCell ref="E37:E39"/>
    <mergeCell ref="E19:E21"/>
    <mergeCell ref="F20:G20"/>
    <mergeCell ref="F23:G23"/>
    <mergeCell ref="C19:C21"/>
    <mergeCell ref="D19:D21"/>
    <mergeCell ref="C22:C24"/>
    <mergeCell ref="D22:D24"/>
    <mergeCell ref="E22:E24"/>
    <mergeCell ref="D25:D27"/>
    <mergeCell ref="E25:E27"/>
    <mergeCell ref="C34:C36"/>
    <mergeCell ref="D34:D36"/>
    <mergeCell ref="E34:E36"/>
    <mergeCell ref="C25:C27"/>
    <mergeCell ref="C28:C30"/>
    <mergeCell ref="D28:D30"/>
    <mergeCell ref="E28:E30"/>
    <mergeCell ref="C31:C33"/>
    <mergeCell ref="D31:D33"/>
    <mergeCell ref="E31:E33"/>
    <mergeCell ref="B19:B21"/>
    <mergeCell ref="A16:A27"/>
    <mergeCell ref="B22:B24"/>
    <mergeCell ref="B25:B27"/>
    <mergeCell ref="A28:A39"/>
    <mergeCell ref="B28:B30"/>
    <mergeCell ref="B31:B33"/>
    <mergeCell ref="B34:B36"/>
    <mergeCell ref="B37:B39"/>
    <mergeCell ref="A13:A15"/>
    <mergeCell ref="B13:B15"/>
    <mergeCell ref="C13:C15"/>
    <mergeCell ref="D13:D15"/>
    <mergeCell ref="E13:E15"/>
    <mergeCell ref="I13:I15"/>
    <mergeCell ref="J13:J15"/>
    <mergeCell ref="H16:H18"/>
    <mergeCell ref="I16:I18"/>
    <mergeCell ref="J16:J18"/>
    <mergeCell ref="H13:H15"/>
    <mergeCell ref="B16:B18"/>
    <mergeCell ref="F14:G14"/>
    <mergeCell ref="C16:C18"/>
    <mergeCell ref="D16:D18"/>
    <mergeCell ref="E16:E18"/>
    <mergeCell ref="F17:G17"/>
    <mergeCell ref="I19:I21"/>
    <mergeCell ref="J19:J21"/>
    <mergeCell ref="I22:I24"/>
    <mergeCell ref="J22:J24"/>
    <mergeCell ref="H28:H30"/>
    <mergeCell ref="H37:H39"/>
    <mergeCell ref="I37:I39"/>
    <mergeCell ref="J37:J39"/>
    <mergeCell ref="F38:G38"/>
    <mergeCell ref="H34:H36"/>
    <mergeCell ref="I34:I36"/>
    <mergeCell ref="J34:J36"/>
    <mergeCell ref="F35:G35"/>
    <mergeCell ref="H25:H27"/>
    <mergeCell ref="I25:I27"/>
    <mergeCell ref="J25:J27"/>
    <mergeCell ref="F26:G26"/>
    <mergeCell ref="I28:I30"/>
    <mergeCell ref="J28:J30"/>
    <mergeCell ref="F29:G29"/>
    <mergeCell ref="H31:H33"/>
    <mergeCell ref="I31:I33"/>
    <mergeCell ref="J31:J33"/>
    <mergeCell ref="F32:G32"/>
  </mergeCells>
  <conditionalFormatting sqref="F12">
    <cfRule type="cellIs" dxfId="408" priority="1" operator="greaterThan">
      <formula>$F$10</formula>
    </cfRule>
    <cfRule type="cellIs" dxfId="407" priority="2" operator="lessThan">
      <formula>$F$10</formula>
    </cfRule>
  </conditionalFormatting>
  <conditionalFormatting sqref="F15">
    <cfRule type="cellIs" dxfId="406" priority="3" operator="greaterThan">
      <formula>$F$13</formula>
    </cfRule>
    <cfRule type="cellIs" dxfId="405" priority="4" operator="lessThan">
      <formula>$F$13</formula>
    </cfRule>
  </conditionalFormatting>
  <conditionalFormatting sqref="F18">
    <cfRule type="cellIs" dxfId="404" priority="5" operator="lessThan">
      <formula>80</formula>
    </cfRule>
    <cfRule type="cellIs" dxfId="403" priority="6" operator="greaterThanOrEqual">
      <formula>80</formula>
    </cfRule>
  </conditionalFormatting>
  <conditionalFormatting sqref="F21">
    <cfRule type="cellIs" dxfId="402" priority="7" operator="lessThan">
      <formula>80</formula>
    </cfRule>
    <cfRule type="cellIs" dxfId="401" priority="8" operator="greaterThanOrEqual">
      <formula>80</formula>
    </cfRule>
  </conditionalFormatting>
  <conditionalFormatting sqref="F24">
    <cfRule type="cellIs" dxfId="400" priority="9" operator="lessThan">
      <formula>80</formula>
    </cfRule>
    <cfRule type="cellIs" dxfId="399" priority="10" operator="greaterThanOrEqual">
      <formula>80</formula>
    </cfRule>
  </conditionalFormatting>
  <conditionalFormatting sqref="F27">
    <cfRule type="cellIs" dxfId="398" priority="11" operator="lessThan">
      <formula>80</formula>
    </cfRule>
    <cfRule type="cellIs" dxfId="397" priority="12" operator="greaterThanOrEqual">
      <formula>80</formula>
    </cfRule>
  </conditionalFormatting>
  <conditionalFormatting sqref="F30">
    <cfRule type="cellIs" dxfId="396" priority="13" operator="lessThan">
      <formula>$F$22</formula>
    </cfRule>
    <cfRule type="cellIs" dxfId="395" priority="14" operator="greaterThanOrEqual">
      <formula>$F$22</formula>
    </cfRule>
  </conditionalFormatting>
  <conditionalFormatting sqref="F33">
    <cfRule type="cellIs" dxfId="394" priority="15" operator="lessThan">
      <formula>$F$22</formula>
    </cfRule>
    <cfRule type="cellIs" dxfId="393" priority="16" operator="greaterThanOrEqual">
      <formula>$F$22</formula>
    </cfRule>
  </conditionalFormatting>
  <conditionalFormatting sqref="F36">
    <cfRule type="cellIs" dxfId="392" priority="17" operator="lessThan">
      <formula>$F$22</formula>
    </cfRule>
    <cfRule type="cellIs" dxfId="391" priority="18" operator="greaterThanOrEqual">
      <formula>$F$22</formula>
    </cfRule>
  </conditionalFormatting>
  <conditionalFormatting sqref="F39">
    <cfRule type="cellIs" dxfId="390" priority="19" operator="lessThan">
      <formula>$F$22</formula>
    </cfRule>
    <cfRule type="cellIs" dxfId="389" priority="20" operator="greaterThanOrEqual">
      <formula>$F$22</formula>
    </cfRule>
  </conditionalFormatting>
  <conditionalFormatting sqref="J4">
    <cfRule type="cellIs" dxfId="388" priority="21" operator="lessThan">
      <formula>$H$4</formula>
    </cfRule>
    <cfRule type="cellIs" dxfId="387" priority="22" operator="greaterThan">
      <formula>$H$4</formula>
    </cfRule>
  </conditionalFormatting>
  <pageMargins left="0.7" right="0.7" top="0.75" bottom="0.75" header="0" footer="0"/>
  <pageSetup scale="32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39.875" customWidth="1"/>
    <col min="2" max="2" width="47" customWidth="1"/>
    <col min="3" max="3" width="38.5" customWidth="1"/>
    <col min="4" max="4" width="30.375" customWidth="1"/>
    <col min="5" max="5" width="41.125" customWidth="1"/>
    <col min="6" max="6" width="42.875" customWidth="1"/>
    <col min="7" max="7" width="38.375" customWidth="1"/>
    <col min="8" max="8" width="33.625" customWidth="1"/>
    <col min="9" max="9" width="28" customWidth="1"/>
    <col min="10" max="10" width="33.625" customWidth="1"/>
    <col min="11" max="26" width="10.5" customWidth="1"/>
  </cols>
  <sheetData>
    <row r="1" spans="1:26" ht="15.75" customHeight="1">
      <c r="A1" s="347"/>
      <c r="B1" s="348"/>
      <c r="C1" s="347" t="s">
        <v>166</v>
      </c>
      <c r="D1" s="350"/>
      <c r="E1" s="350"/>
      <c r="F1" s="350"/>
      <c r="G1" s="336"/>
      <c r="H1" s="8" t="s">
        <v>167</v>
      </c>
      <c r="I1" s="352" t="s">
        <v>168</v>
      </c>
      <c r="J1" s="322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7.5" customHeight="1">
      <c r="A2" s="337"/>
      <c r="B2" s="349"/>
      <c r="C2" s="337"/>
      <c r="D2" s="351"/>
      <c r="E2" s="351"/>
      <c r="F2" s="351"/>
      <c r="G2" s="338"/>
      <c r="H2" s="8" t="s">
        <v>169</v>
      </c>
      <c r="I2" s="353">
        <v>43691</v>
      </c>
      <c r="J2" s="322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>
      <c r="A3" s="354" t="s">
        <v>4</v>
      </c>
      <c r="B3" s="321"/>
      <c r="C3" s="321"/>
      <c r="D3" s="321"/>
      <c r="E3" s="321"/>
      <c r="F3" s="321"/>
      <c r="G3" s="322"/>
      <c r="H3" s="355">
        <v>301</v>
      </c>
      <c r="I3" s="321"/>
      <c r="J3" s="322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7" customHeight="1">
      <c r="A4" s="10" t="s">
        <v>170</v>
      </c>
      <c r="B4" s="341" t="s">
        <v>171</v>
      </c>
      <c r="C4" s="342"/>
      <c r="D4" s="11" t="s">
        <v>8</v>
      </c>
      <c r="E4" s="12">
        <v>2024</v>
      </c>
      <c r="F4" s="339" t="s">
        <v>172</v>
      </c>
      <c r="G4" s="340"/>
      <c r="H4" s="13">
        <v>8200000</v>
      </c>
      <c r="I4" s="14" t="s">
        <v>173</v>
      </c>
      <c r="J4" s="15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343" t="s">
        <v>12</v>
      </c>
      <c r="B5" s="344"/>
      <c r="C5" s="345" t="s">
        <v>174</v>
      </c>
      <c r="D5" s="321"/>
      <c r="E5" s="322"/>
      <c r="F5" s="346" t="s">
        <v>175</v>
      </c>
      <c r="G5" s="340"/>
      <c r="H5" s="320" t="s">
        <v>176</v>
      </c>
      <c r="I5" s="321"/>
      <c r="J5" s="32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" t="s">
        <v>18</v>
      </c>
      <c r="B6" s="16" t="s">
        <v>19</v>
      </c>
      <c r="C6" s="17" t="s">
        <v>20</v>
      </c>
      <c r="D6" s="3" t="s">
        <v>21</v>
      </c>
      <c r="E6" s="17" t="s">
        <v>177</v>
      </c>
      <c r="F6" s="323" t="s">
        <v>14</v>
      </c>
      <c r="G6" s="322"/>
      <c r="H6" s="17" t="s">
        <v>178</v>
      </c>
      <c r="I6" s="3" t="s">
        <v>16</v>
      </c>
      <c r="J6" s="17" t="s">
        <v>17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2" customHeight="1">
      <c r="A7" s="324" t="s">
        <v>23</v>
      </c>
      <c r="B7" s="325"/>
      <c r="C7" s="326" t="s">
        <v>179</v>
      </c>
      <c r="D7" s="321"/>
      <c r="E7" s="322"/>
      <c r="F7" s="330" t="s">
        <v>24</v>
      </c>
      <c r="G7" s="321"/>
      <c r="H7" s="322"/>
      <c r="I7" s="326" t="s">
        <v>180</v>
      </c>
      <c r="J7" s="322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81" customHeight="1">
      <c r="A10" s="315" t="s">
        <v>36</v>
      </c>
      <c r="B10" s="304" t="s">
        <v>181</v>
      </c>
      <c r="C10" s="317" t="s">
        <v>182</v>
      </c>
      <c r="D10" s="307" t="s">
        <v>114</v>
      </c>
      <c r="E10" s="307" t="s">
        <v>40</v>
      </c>
      <c r="F10" s="4">
        <v>33.33</v>
      </c>
      <c r="G10" s="5" t="s">
        <v>183</v>
      </c>
      <c r="H10" s="304" t="s">
        <v>184</v>
      </c>
      <c r="I10" s="307" t="s">
        <v>114</v>
      </c>
      <c r="J10" s="304" t="s">
        <v>185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42.75" customHeight="1">
      <c r="A11" s="305"/>
      <c r="B11" s="305"/>
      <c r="C11" s="318"/>
      <c r="D11" s="305"/>
      <c r="E11" s="305"/>
      <c r="F11" s="308" t="s">
        <v>45</v>
      </c>
      <c r="G11" s="309"/>
      <c r="H11" s="305"/>
      <c r="I11" s="305"/>
      <c r="J11" s="305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306"/>
      <c r="B12" s="306"/>
      <c r="C12" s="319"/>
      <c r="D12" s="306"/>
      <c r="E12" s="306"/>
      <c r="F12" s="21">
        <f>$D$47</f>
        <v>0</v>
      </c>
      <c r="G12" s="5" t="s">
        <v>186</v>
      </c>
      <c r="H12" s="306"/>
      <c r="I12" s="306"/>
      <c r="J12" s="306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316" t="s">
        <v>47</v>
      </c>
      <c r="B13" s="314" t="s">
        <v>187</v>
      </c>
      <c r="C13" s="307" t="s">
        <v>188</v>
      </c>
      <c r="D13" s="307" t="s">
        <v>189</v>
      </c>
      <c r="E13" s="307" t="s">
        <v>40</v>
      </c>
      <c r="F13" s="4">
        <v>89.79</v>
      </c>
      <c r="G13" s="5" t="s">
        <v>190</v>
      </c>
      <c r="H13" s="304" t="s">
        <v>191</v>
      </c>
      <c r="I13" s="307" t="s">
        <v>192</v>
      </c>
      <c r="J13" s="304" t="s">
        <v>193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52.5" customHeight="1">
      <c r="A14" s="305"/>
      <c r="B14" s="305"/>
      <c r="C14" s="305"/>
      <c r="D14" s="305"/>
      <c r="E14" s="305"/>
      <c r="F14" s="308" t="s">
        <v>45</v>
      </c>
      <c r="G14" s="309"/>
      <c r="H14" s="305"/>
      <c r="I14" s="305"/>
      <c r="J14" s="305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85.5" customHeight="1">
      <c r="A15" s="306"/>
      <c r="B15" s="306"/>
      <c r="C15" s="306"/>
      <c r="D15" s="306"/>
      <c r="E15" s="306"/>
      <c r="F15" s="21"/>
      <c r="G15" s="5" t="s">
        <v>194</v>
      </c>
      <c r="H15" s="306"/>
      <c r="I15" s="306"/>
      <c r="J15" s="306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310" t="s">
        <v>56</v>
      </c>
      <c r="B16" s="304" t="s">
        <v>195</v>
      </c>
      <c r="C16" s="307" t="s">
        <v>196</v>
      </c>
      <c r="D16" s="307" t="s">
        <v>114</v>
      </c>
      <c r="E16" s="307" t="s">
        <v>40</v>
      </c>
      <c r="F16" s="4">
        <v>16.57</v>
      </c>
      <c r="G16" s="5" t="s">
        <v>197</v>
      </c>
      <c r="H16" s="304" t="s">
        <v>184</v>
      </c>
      <c r="I16" s="307" t="s">
        <v>114</v>
      </c>
      <c r="J16" s="304" t="s">
        <v>185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7.75" customHeight="1">
      <c r="A17" s="311"/>
      <c r="B17" s="305"/>
      <c r="C17" s="305"/>
      <c r="D17" s="305"/>
      <c r="E17" s="305"/>
      <c r="F17" s="308" t="s">
        <v>45</v>
      </c>
      <c r="G17" s="309"/>
      <c r="H17" s="305"/>
      <c r="I17" s="305"/>
      <c r="J17" s="305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311"/>
      <c r="B18" s="306"/>
      <c r="C18" s="306"/>
      <c r="D18" s="306"/>
      <c r="E18" s="306"/>
      <c r="F18" s="21"/>
      <c r="G18" s="5" t="s">
        <v>198</v>
      </c>
      <c r="H18" s="306"/>
      <c r="I18" s="306"/>
      <c r="J18" s="306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52.5" customHeight="1">
      <c r="A19" s="311"/>
      <c r="B19" s="304" t="s">
        <v>199</v>
      </c>
      <c r="C19" s="307" t="s">
        <v>200</v>
      </c>
      <c r="D19" s="307" t="s">
        <v>201</v>
      </c>
      <c r="E19" s="307" t="s">
        <v>40</v>
      </c>
      <c r="F19" s="4">
        <v>0</v>
      </c>
      <c r="G19" s="5" t="s">
        <v>202</v>
      </c>
      <c r="H19" s="304" t="s">
        <v>203</v>
      </c>
      <c r="I19" s="304" t="s">
        <v>201</v>
      </c>
      <c r="J19" s="304" t="s">
        <v>204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51.75" customHeight="1">
      <c r="A20" s="311"/>
      <c r="B20" s="305"/>
      <c r="C20" s="305"/>
      <c r="D20" s="305"/>
      <c r="E20" s="305"/>
      <c r="F20" s="308" t="s">
        <v>45</v>
      </c>
      <c r="G20" s="309"/>
      <c r="H20" s="305"/>
      <c r="I20" s="305"/>
      <c r="J20" s="305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60.75" customHeight="1">
      <c r="A21" s="312"/>
      <c r="B21" s="306"/>
      <c r="C21" s="306"/>
      <c r="D21" s="306"/>
      <c r="E21" s="306"/>
      <c r="F21" s="21"/>
      <c r="G21" s="5" t="s">
        <v>205</v>
      </c>
      <c r="H21" s="306"/>
      <c r="I21" s="306"/>
      <c r="J21" s="306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>
      <c r="A22" s="315" t="s">
        <v>80</v>
      </c>
      <c r="B22" s="304" t="s">
        <v>206</v>
      </c>
      <c r="C22" s="307" t="s">
        <v>207</v>
      </c>
      <c r="D22" s="307" t="s">
        <v>208</v>
      </c>
      <c r="E22" s="307" t="s">
        <v>40</v>
      </c>
      <c r="F22" s="22"/>
      <c r="G22" s="5" t="s">
        <v>209</v>
      </c>
      <c r="H22" s="304" t="s">
        <v>210</v>
      </c>
      <c r="I22" s="304" t="s">
        <v>211</v>
      </c>
      <c r="J22" s="304" t="s">
        <v>212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45" customHeight="1">
      <c r="A23" s="305"/>
      <c r="B23" s="305"/>
      <c r="C23" s="305"/>
      <c r="D23" s="305"/>
      <c r="E23" s="305"/>
      <c r="F23" s="313" t="s">
        <v>45</v>
      </c>
      <c r="G23" s="309"/>
      <c r="H23" s="305"/>
      <c r="I23" s="305"/>
      <c r="J23" s="305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57.75" customHeight="1">
      <c r="A24" s="305"/>
      <c r="B24" s="306"/>
      <c r="C24" s="306"/>
      <c r="D24" s="305"/>
      <c r="E24" s="305"/>
      <c r="F24" s="23"/>
      <c r="G24" s="5" t="s">
        <v>213</v>
      </c>
      <c r="H24" s="306"/>
      <c r="I24" s="306"/>
      <c r="J24" s="30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84" customHeight="1">
      <c r="A25" s="305"/>
      <c r="B25" s="304" t="s">
        <v>214</v>
      </c>
      <c r="C25" s="304" t="s">
        <v>215</v>
      </c>
      <c r="D25" s="305"/>
      <c r="E25" s="305"/>
      <c r="F25" s="22"/>
      <c r="G25" s="5" t="s">
        <v>216</v>
      </c>
      <c r="H25" s="304" t="s">
        <v>217</v>
      </c>
      <c r="I25" s="304" t="s">
        <v>208</v>
      </c>
      <c r="J25" s="304" t="s">
        <v>218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3.5" customHeight="1">
      <c r="A26" s="305"/>
      <c r="B26" s="305"/>
      <c r="C26" s="305"/>
      <c r="D26" s="305"/>
      <c r="E26" s="305"/>
      <c r="F26" s="313" t="s">
        <v>45</v>
      </c>
      <c r="G26" s="309"/>
      <c r="H26" s="305"/>
      <c r="I26" s="305"/>
      <c r="J26" s="305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81" customHeight="1">
      <c r="A27" s="306"/>
      <c r="B27" s="306"/>
      <c r="C27" s="306"/>
      <c r="D27" s="306"/>
      <c r="E27" s="306"/>
      <c r="F27" s="23"/>
      <c r="G27" s="5" t="s">
        <v>219</v>
      </c>
      <c r="H27" s="306"/>
      <c r="I27" s="306"/>
      <c r="J27" s="306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74">
    <mergeCell ref="A1:B2"/>
    <mergeCell ref="C1:G2"/>
    <mergeCell ref="I1:J1"/>
    <mergeCell ref="I2:J2"/>
    <mergeCell ref="A3:G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B13:B15"/>
    <mergeCell ref="B16:B18"/>
    <mergeCell ref="A22:A27"/>
    <mergeCell ref="B22:B24"/>
    <mergeCell ref="C22:C24"/>
    <mergeCell ref="D22:D27"/>
    <mergeCell ref="E22:E27"/>
    <mergeCell ref="B25:B27"/>
    <mergeCell ref="C25:C27"/>
    <mergeCell ref="A13:A15"/>
    <mergeCell ref="C13:C15"/>
    <mergeCell ref="D13:D15"/>
    <mergeCell ref="E13:E15"/>
    <mergeCell ref="I13:I15"/>
    <mergeCell ref="J13:J15"/>
    <mergeCell ref="A16:A21"/>
    <mergeCell ref="I25:I27"/>
    <mergeCell ref="J25:J27"/>
    <mergeCell ref="J19:J21"/>
    <mergeCell ref="F20:G20"/>
    <mergeCell ref="H22:H24"/>
    <mergeCell ref="I22:I24"/>
    <mergeCell ref="J22:J24"/>
    <mergeCell ref="F23:G23"/>
    <mergeCell ref="H25:H27"/>
    <mergeCell ref="F26:G26"/>
    <mergeCell ref="H13:H15"/>
    <mergeCell ref="F14:G14"/>
    <mergeCell ref="C16:C18"/>
    <mergeCell ref="D16:D18"/>
    <mergeCell ref="E16:E18"/>
    <mergeCell ref="H16:H18"/>
    <mergeCell ref="F17:G17"/>
    <mergeCell ref="I16:I18"/>
    <mergeCell ref="J16:J18"/>
    <mergeCell ref="I19:I21"/>
    <mergeCell ref="B19:B21"/>
    <mergeCell ref="C19:C21"/>
    <mergeCell ref="D19:D21"/>
    <mergeCell ref="E19:E21"/>
    <mergeCell ref="H19:H21"/>
  </mergeCells>
  <conditionalFormatting sqref="F12">
    <cfRule type="cellIs" dxfId="320" priority="1" operator="lessThan">
      <formula>$F$16</formula>
    </cfRule>
    <cfRule type="cellIs" dxfId="319" priority="2" operator="greaterThanOrEqual">
      <formula>$F$16</formula>
    </cfRule>
  </conditionalFormatting>
  <conditionalFormatting sqref="F15">
    <cfRule type="cellIs" dxfId="318" priority="3" operator="lessThan">
      <formula>$F$16</formula>
    </cfRule>
    <cfRule type="cellIs" dxfId="317" priority="4" operator="greaterThanOrEqual">
      <formula>$F$16</formula>
    </cfRule>
  </conditionalFormatting>
  <conditionalFormatting sqref="F18">
    <cfRule type="cellIs" dxfId="316" priority="5" operator="lessThan">
      <formula>$F$16</formula>
    </cfRule>
    <cfRule type="cellIs" dxfId="315" priority="6" operator="greaterThanOrEqual">
      <formula>$F$16</formula>
    </cfRule>
  </conditionalFormatting>
  <conditionalFormatting sqref="F21">
    <cfRule type="cellIs" dxfId="314" priority="7" operator="lessThan">
      <formula>$F$16</formula>
    </cfRule>
    <cfRule type="cellIs" dxfId="313" priority="8" operator="greaterThanOrEqual">
      <formula>$F$16</formula>
    </cfRule>
  </conditionalFormatting>
  <conditionalFormatting sqref="F24">
    <cfRule type="cellIs" dxfId="312" priority="9" operator="lessThan">
      <formula>$F$16</formula>
    </cfRule>
    <cfRule type="cellIs" dxfId="311" priority="10" operator="greaterThanOrEqual">
      <formula>$F$16</formula>
    </cfRule>
  </conditionalFormatting>
  <conditionalFormatting sqref="F27">
    <cfRule type="cellIs" dxfId="310" priority="11" operator="lessThan">
      <formula>$F$16</formula>
    </cfRule>
    <cfRule type="cellIs" dxfId="309" priority="12" operator="greaterThanOrEqual">
      <formula>$F$16</formula>
    </cfRule>
  </conditionalFormatting>
  <conditionalFormatting sqref="J4">
    <cfRule type="cellIs" dxfId="308" priority="13" operator="lessThan">
      <formula>$H$4</formula>
    </cfRule>
    <cfRule type="cellIs" dxfId="307" priority="14" operator="greaterThan">
      <formula>$H$4</formula>
    </cfRule>
  </conditionalFormatting>
  <pageMargins left="0.7" right="0.7" top="0.75" bottom="0.75" header="0" footer="0"/>
  <pageSetup scale="22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1:Z1000"/>
  <sheetViews>
    <sheetView workbookViewId="0"/>
  </sheetViews>
  <sheetFormatPr baseColWidth="10" defaultColWidth="11.125" defaultRowHeight="15" customHeight="1"/>
  <cols>
    <col min="1" max="1" width="31" customWidth="1"/>
    <col min="2" max="2" width="30" customWidth="1"/>
    <col min="3" max="3" width="34" customWidth="1"/>
    <col min="4" max="4" width="29" customWidth="1"/>
    <col min="5" max="5" width="25.875" customWidth="1"/>
    <col min="6" max="6" width="10.875" customWidth="1"/>
    <col min="7" max="7" width="37.5" customWidth="1"/>
    <col min="8" max="8" width="29" customWidth="1"/>
    <col min="9" max="10" width="30.125" customWidth="1"/>
    <col min="11" max="26" width="10.5" customWidth="1"/>
  </cols>
  <sheetData>
    <row r="1" spans="1:26" ht="121.5" customHeight="1">
      <c r="A1" s="362"/>
      <c r="B1" s="348"/>
      <c r="C1" s="362" t="s">
        <v>220</v>
      </c>
      <c r="D1" s="350"/>
      <c r="E1" s="350"/>
      <c r="F1" s="350"/>
      <c r="G1" s="336"/>
      <c r="H1" s="24" t="s">
        <v>167</v>
      </c>
      <c r="I1" s="363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97.5" customHeight="1">
      <c r="A2" s="337"/>
      <c r="B2" s="349"/>
      <c r="C2" s="337"/>
      <c r="D2" s="351"/>
      <c r="E2" s="351"/>
      <c r="F2" s="351"/>
      <c r="G2" s="338"/>
      <c r="H2" s="24" t="s">
        <v>169</v>
      </c>
      <c r="I2" s="364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43" t="s">
        <v>4</v>
      </c>
      <c r="B3" s="360"/>
      <c r="C3" s="360"/>
      <c r="D3" s="360"/>
      <c r="E3" s="360"/>
      <c r="F3" s="360"/>
      <c r="G3" s="344"/>
      <c r="H3" s="355">
        <v>303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>
      <c r="A4" s="26" t="s">
        <v>170</v>
      </c>
      <c r="B4" s="330" t="s">
        <v>221</v>
      </c>
      <c r="C4" s="322"/>
      <c r="D4" s="27" t="s">
        <v>8</v>
      </c>
      <c r="E4" s="12">
        <v>2024</v>
      </c>
      <c r="F4" s="346" t="s">
        <v>172</v>
      </c>
      <c r="G4" s="340"/>
      <c r="H4" s="13">
        <v>2040000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361" t="s">
        <v>222</v>
      </c>
      <c r="D5" s="321"/>
      <c r="E5" s="322"/>
      <c r="F5" s="346" t="s">
        <v>175</v>
      </c>
      <c r="G5" s="340"/>
      <c r="H5" s="320" t="s">
        <v>223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26" t="s">
        <v>18</v>
      </c>
      <c r="B6" s="28" t="s">
        <v>19</v>
      </c>
      <c r="C6" s="17" t="s">
        <v>20</v>
      </c>
      <c r="D6" s="3" t="s">
        <v>21</v>
      </c>
      <c r="E6" s="17" t="s">
        <v>224</v>
      </c>
      <c r="F6" s="358" t="s">
        <v>14</v>
      </c>
      <c r="G6" s="342"/>
      <c r="H6" s="17" t="s">
        <v>178</v>
      </c>
      <c r="I6" s="3" t="s">
        <v>16</v>
      </c>
      <c r="J6" s="17" t="s">
        <v>17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>
      <c r="A7" s="324" t="s">
        <v>23</v>
      </c>
      <c r="B7" s="325"/>
      <c r="C7" s="326" t="s">
        <v>225</v>
      </c>
      <c r="D7" s="321"/>
      <c r="E7" s="322"/>
      <c r="F7" s="359" t="s">
        <v>24</v>
      </c>
      <c r="G7" s="360"/>
      <c r="H7" s="344"/>
      <c r="I7" s="326" t="s">
        <v>226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>
      <c r="A10" s="315" t="s">
        <v>36</v>
      </c>
      <c r="B10" s="304" t="s">
        <v>227</v>
      </c>
      <c r="C10" s="317" t="s">
        <v>228</v>
      </c>
      <c r="D10" s="307" t="s">
        <v>229</v>
      </c>
      <c r="E10" s="307" t="s">
        <v>40</v>
      </c>
      <c r="F10" s="4"/>
      <c r="G10" s="29" t="s">
        <v>230</v>
      </c>
      <c r="H10" s="304" t="s">
        <v>231</v>
      </c>
      <c r="I10" s="304" t="s">
        <v>232</v>
      </c>
      <c r="J10" s="304" t="s">
        <v>233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2.75" customHeight="1">
      <c r="A11" s="305"/>
      <c r="B11" s="305"/>
      <c r="C11" s="318"/>
      <c r="D11" s="305"/>
      <c r="E11" s="305"/>
      <c r="F11" s="35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19"/>
      <c r="D12" s="306"/>
      <c r="E12" s="306"/>
      <c r="F12" s="21" t="e">
        <f>#REF!</f>
        <v>#REF!</v>
      </c>
      <c r="G12" s="29" t="s">
        <v>234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316" t="s">
        <v>47</v>
      </c>
      <c r="B13" s="314" t="s">
        <v>235</v>
      </c>
      <c r="C13" s="307" t="s">
        <v>236</v>
      </c>
      <c r="D13" s="307" t="s">
        <v>237</v>
      </c>
      <c r="E13" s="307" t="s">
        <v>40</v>
      </c>
      <c r="F13" s="4"/>
      <c r="G13" s="5" t="s">
        <v>238</v>
      </c>
      <c r="H13" s="304" t="s">
        <v>239</v>
      </c>
      <c r="I13" s="304" t="s">
        <v>240</v>
      </c>
      <c r="J13" s="304" t="s">
        <v>241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>
      <c r="A14" s="305"/>
      <c r="B14" s="305"/>
      <c r="C14" s="305"/>
      <c r="D14" s="305"/>
      <c r="E14" s="305"/>
      <c r="F14" s="35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3.75" customHeight="1">
      <c r="A15" s="306"/>
      <c r="B15" s="306"/>
      <c r="C15" s="306"/>
      <c r="D15" s="306"/>
      <c r="E15" s="306"/>
      <c r="F15" s="21"/>
      <c r="G15" s="5" t="s">
        <v>242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>
      <c r="A16" s="310" t="s">
        <v>56</v>
      </c>
      <c r="B16" s="304" t="s">
        <v>243</v>
      </c>
      <c r="C16" s="307" t="s">
        <v>244</v>
      </c>
      <c r="D16" s="307" t="s">
        <v>245</v>
      </c>
      <c r="E16" s="307" t="s">
        <v>40</v>
      </c>
      <c r="F16" s="4"/>
      <c r="G16" s="29" t="s">
        <v>246</v>
      </c>
      <c r="H16" s="304" t="s">
        <v>247</v>
      </c>
      <c r="I16" s="304" t="s">
        <v>248</v>
      </c>
      <c r="J16" s="304" t="s">
        <v>249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>
      <c r="A17" s="311"/>
      <c r="B17" s="305"/>
      <c r="C17" s="305"/>
      <c r="D17" s="305"/>
      <c r="E17" s="305"/>
      <c r="F17" s="356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45.75" customHeight="1">
      <c r="A18" s="311"/>
      <c r="B18" s="306"/>
      <c r="C18" s="306"/>
      <c r="D18" s="306"/>
      <c r="E18" s="306"/>
      <c r="F18" s="21"/>
      <c r="G18" s="29" t="s">
        <v>250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>
      <c r="A19" s="311"/>
      <c r="B19" s="304" t="s">
        <v>251</v>
      </c>
      <c r="C19" s="307" t="s">
        <v>252</v>
      </c>
      <c r="D19" s="307" t="s">
        <v>253</v>
      </c>
      <c r="E19" s="307" t="s">
        <v>40</v>
      </c>
      <c r="F19" s="4"/>
      <c r="G19" s="29" t="s">
        <v>246</v>
      </c>
      <c r="H19" s="304" t="s">
        <v>254</v>
      </c>
      <c r="I19" s="304" t="s">
        <v>255</v>
      </c>
      <c r="J19" s="304" t="s">
        <v>256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311"/>
      <c r="B20" s="305"/>
      <c r="C20" s="305"/>
      <c r="D20" s="305"/>
      <c r="E20" s="305"/>
      <c r="F20" s="356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312"/>
      <c r="B21" s="306"/>
      <c r="C21" s="306"/>
      <c r="D21" s="306"/>
      <c r="E21" s="306"/>
      <c r="F21" s="21"/>
      <c r="G21" s="29" t="s">
        <v>250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315" t="s">
        <v>80</v>
      </c>
      <c r="B22" s="304" t="s">
        <v>257</v>
      </c>
      <c r="C22" s="307" t="s">
        <v>258</v>
      </c>
      <c r="D22" s="307" t="s">
        <v>259</v>
      </c>
      <c r="E22" s="307" t="s">
        <v>40</v>
      </c>
      <c r="F22" s="4"/>
      <c r="G22" s="29" t="s">
        <v>260</v>
      </c>
      <c r="H22" s="304" t="s">
        <v>261</v>
      </c>
      <c r="I22" s="304" t="s">
        <v>262</v>
      </c>
      <c r="J22" s="304" t="s">
        <v>263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305"/>
      <c r="B23" s="305"/>
      <c r="C23" s="305"/>
      <c r="D23" s="305"/>
      <c r="E23" s="305"/>
      <c r="F23" s="356" t="s">
        <v>45</v>
      </c>
      <c r="G23" s="30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305"/>
      <c r="B24" s="306"/>
      <c r="C24" s="306"/>
      <c r="D24" s="305"/>
      <c r="E24" s="305"/>
      <c r="F24" s="21"/>
      <c r="G24" s="29" t="s">
        <v>264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305"/>
      <c r="B25" s="304" t="s">
        <v>265</v>
      </c>
      <c r="C25" s="307" t="s">
        <v>266</v>
      </c>
      <c r="D25" s="305"/>
      <c r="E25" s="305"/>
      <c r="F25" s="4"/>
      <c r="G25" s="29" t="s">
        <v>267</v>
      </c>
      <c r="H25" s="304" t="s">
        <v>268</v>
      </c>
      <c r="I25" s="304" t="s">
        <v>108</v>
      </c>
      <c r="J25" s="304" t="s">
        <v>269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305"/>
      <c r="B26" s="305"/>
      <c r="C26" s="305"/>
      <c r="D26" s="305"/>
      <c r="E26" s="305"/>
      <c r="F26" s="35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305"/>
      <c r="B27" s="306"/>
      <c r="C27" s="306"/>
      <c r="D27" s="305"/>
      <c r="E27" s="305"/>
      <c r="F27" s="21"/>
      <c r="G27" s="29" t="s">
        <v>250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6.5" customHeight="1">
      <c r="A28" s="305"/>
      <c r="B28" s="304" t="s">
        <v>270</v>
      </c>
      <c r="C28" s="307" t="s">
        <v>271</v>
      </c>
      <c r="D28" s="305"/>
      <c r="E28" s="305"/>
      <c r="F28" s="4"/>
      <c r="G28" s="29" t="s">
        <v>267</v>
      </c>
      <c r="H28" s="304" t="s">
        <v>272</v>
      </c>
      <c r="I28" s="304" t="s">
        <v>273</v>
      </c>
      <c r="J28" s="304" t="s">
        <v>274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305"/>
      <c r="B29" s="305"/>
      <c r="C29" s="305"/>
      <c r="D29" s="305"/>
      <c r="E29" s="305"/>
      <c r="F29" s="35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305"/>
      <c r="B30" s="306"/>
      <c r="C30" s="306"/>
      <c r="D30" s="357"/>
      <c r="E30" s="357"/>
      <c r="F30" s="21"/>
      <c r="G30" s="29"/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305"/>
      <c r="B31" s="304" t="s">
        <v>275</v>
      </c>
      <c r="C31" s="307" t="s">
        <v>276</v>
      </c>
      <c r="D31" s="307" t="s">
        <v>277</v>
      </c>
      <c r="E31" s="307" t="s">
        <v>40</v>
      </c>
      <c r="F31" s="4"/>
      <c r="G31" s="29" t="s">
        <v>278</v>
      </c>
      <c r="H31" s="304" t="s">
        <v>277</v>
      </c>
      <c r="I31" s="304" t="s">
        <v>279</v>
      </c>
      <c r="J31" s="304" t="s">
        <v>280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305"/>
      <c r="B32" s="305"/>
      <c r="C32" s="305"/>
      <c r="D32" s="305"/>
      <c r="E32" s="305"/>
      <c r="F32" s="356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306"/>
      <c r="B33" s="306"/>
      <c r="C33" s="306"/>
      <c r="D33" s="306"/>
      <c r="E33" s="306"/>
      <c r="F33" s="21"/>
      <c r="G33" s="29" t="s">
        <v>281</v>
      </c>
      <c r="H33" s="306"/>
      <c r="I33" s="306"/>
      <c r="J33" s="30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88">
    <mergeCell ref="A1:B2"/>
    <mergeCell ref="C1:G2"/>
    <mergeCell ref="I1:J1"/>
    <mergeCell ref="I2:J2"/>
    <mergeCell ref="A3:G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B13:B15"/>
    <mergeCell ref="B16:B18"/>
    <mergeCell ref="A13:A15"/>
    <mergeCell ref="C13:C15"/>
    <mergeCell ref="D13:D15"/>
    <mergeCell ref="E13:E15"/>
    <mergeCell ref="I13:I15"/>
    <mergeCell ref="J13:J15"/>
    <mergeCell ref="A16:A21"/>
    <mergeCell ref="H13:H15"/>
    <mergeCell ref="F14:G14"/>
    <mergeCell ref="C16:C18"/>
    <mergeCell ref="D16:D18"/>
    <mergeCell ref="E16:E18"/>
    <mergeCell ref="C28:C30"/>
    <mergeCell ref="F26:G26"/>
    <mergeCell ref="F29:G29"/>
    <mergeCell ref="J19:J21"/>
    <mergeCell ref="F20:G20"/>
    <mergeCell ref="H22:H24"/>
    <mergeCell ref="I22:I24"/>
    <mergeCell ref="J22:J24"/>
    <mergeCell ref="F23:G23"/>
    <mergeCell ref="H25:H27"/>
    <mergeCell ref="I25:I27"/>
    <mergeCell ref="J25:J27"/>
    <mergeCell ref="H28:H30"/>
    <mergeCell ref="I28:I30"/>
    <mergeCell ref="J28:J30"/>
    <mergeCell ref="I31:I33"/>
    <mergeCell ref="J31:J33"/>
    <mergeCell ref="F32:G32"/>
    <mergeCell ref="A22:A33"/>
    <mergeCell ref="B22:B24"/>
    <mergeCell ref="C22:C24"/>
    <mergeCell ref="D22:D30"/>
    <mergeCell ref="E22:E30"/>
    <mergeCell ref="B25:B27"/>
    <mergeCell ref="C25:C27"/>
    <mergeCell ref="B31:B33"/>
    <mergeCell ref="C31:C33"/>
    <mergeCell ref="D31:D33"/>
    <mergeCell ref="E31:E33"/>
    <mergeCell ref="H31:H33"/>
    <mergeCell ref="B28:B30"/>
    <mergeCell ref="H16:H18"/>
    <mergeCell ref="F17:G17"/>
    <mergeCell ref="I16:I18"/>
    <mergeCell ref="J16:J18"/>
    <mergeCell ref="B19:B21"/>
    <mergeCell ref="C19:C21"/>
    <mergeCell ref="D19:D21"/>
    <mergeCell ref="E19:E21"/>
    <mergeCell ref="H19:H21"/>
    <mergeCell ref="I19:I21"/>
  </mergeCells>
  <conditionalFormatting sqref="F12">
    <cfRule type="cellIs" dxfId="306" priority="1" operator="lessThan">
      <formula>$F$16</formula>
    </cfRule>
    <cfRule type="cellIs" dxfId="305" priority="2" operator="greaterThanOrEqual">
      <formula>$F$16</formula>
    </cfRule>
  </conditionalFormatting>
  <conditionalFormatting sqref="F15">
    <cfRule type="cellIs" dxfId="304" priority="3" operator="lessThan">
      <formula>$F$16</formula>
    </cfRule>
    <cfRule type="cellIs" dxfId="303" priority="4" operator="greaterThanOrEqual">
      <formula>$F$16</formula>
    </cfRule>
  </conditionalFormatting>
  <conditionalFormatting sqref="F18">
    <cfRule type="cellIs" dxfId="302" priority="5" operator="lessThan">
      <formula>$F$16</formula>
    </cfRule>
    <cfRule type="cellIs" dxfId="301" priority="6" operator="greaterThanOrEqual">
      <formula>$F$16</formula>
    </cfRule>
  </conditionalFormatting>
  <conditionalFormatting sqref="F21">
    <cfRule type="cellIs" dxfId="300" priority="7" operator="lessThan">
      <formula>$F$16</formula>
    </cfRule>
    <cfRule type="cellIs" dxfId="299" priority="8" operator="greaterThanOrEqual">
      <formula>$F$16</formula>
    </cfRule>
  </conditionalFormatting>
  <conditionalFormatting sqref="F24">
    <cfRule type="cellIs" dxfId="298" priority="9" operator="lessThan">
      <formula>$F$16</formula>
    </cfRule>
    <cfRule type="cellIs" dxfId="297" priority="10" operator="greaterThanOrEqual">
      <formula>$F$16</formula>
    </cfRule>
  </conditionalFormatting>
  <conditionalFormatting sqref="F27">
    <cfRule type="cellIs" dxfId="296" priority="11" operator="lessThan">
      <formula>$F$16</formula>
    </cfRule>
    <cfRule type="cellIs" dxfId="295" priority="12" operator="greaterThanOrEqual">
      <formula>$F$16</formula>
    </cfRule>
  </conditionalFormatting>
  <conditionalFormatting sqref="F30">
    <cfRule type="cellIs" dxfId="294" priority="13" operator="lessThan">
      <formula>$F$16</formula>
    </cfRule>
    <cfRule type="cellIs" dxfId="293" priority="14" operator="greaterThanOrEqual">
      <formula>$F$16</formula>
    </cfRule>
  </conditionalFormatting>
  <conditionalFormatting sqref="F33">
    <cfRule type="cellIs" dxfId="292" priority="15" operator="lessThan">
      <formula>$F$16</formula>
    </cfRule>
    <cfRule type="cellIs" dxfId="291" priority="16" operator="greaterThanOrEqual">
      <formula>$F$16</formula>
    </cfRule>
  </conditionalFormatting>
  <conditionalFormatting sqref="J4">
    <cfRule type="cellIs" dxfId="290" priority="17" operator="lessThan">
      <formula>$H$4</formula>
    </cfRule>
    <cfRule type="cellIs" dxfId="289" priority="18" operator="greaterThan">
      <formula>$H$4</formula>
    </cfRule>
  </conditionalFormatting>
  <pageMargins left="0.7" right="0.7" top="0.75" bottom="0.75" header="0" footer="0"/>
  <pageSetup scale="28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39.875" customWidth="1"/>
    <col min="2" max="2" width="33.625" customWidth="1"/>
    <col min="3" max="3" width="38.5" customWidth="1"/>
    <col min="4" max="4" width="30.375" customWidth="1"/>
    <col min="5" max="5" width="41.125" customWidth="1"/>
    <col min="6" max="6" width="42.875" customWidth="1"/>
    <col min="7" max="7" width="38.375" customWidth="1"/>
    <col min="8" max="8" width="33.625" customWidth="1"/>
    <col min="9" max="9" width="28" customWidth="1"/>
    <col min="10" max="10" width="33.625" customWidth="1"/>
    <col min="11" max="26" width="10.5" customWidth="1"/>
  </cols>
  <sheetData>
    <row r="1" spans="1:26" ht="108" customHeight="1">
      <c r="A1" s="367"/>
      <c r="B1" s="348"/>
      <c r="C1" s="367" t="s">
        <v>166</v>
      </c>
      <c r="D1" s="350"/>
      <c r="E1" s="350"/>
      <c r="F1" s="350"/>
      <c r="G1" s="336"/>
      <c r="H1" s="30" t="s">
        <v>167</v>
      </c>
      <c r="I1" s="368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27.5" customHeight="1">
      <c r="A2" s="337"/>
      <c r="B2" s="349"/>
      <c r="C2" s="337"/>
      <c r="D2" s="351"/>
      <c r="E2" s="351"/>
      <c r="F2" s="351"/>
      <c r="G2" s="338"/>
      <c r="H2" s="30" t="s">
        <v>169</v>
      </c>
      <c r="I2" s="369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54" t="s">
        <v>4</v>
      </c>
      <c r="B3" s="321"/>
      <c r="C3" s="321"/>
      <c r="D3" s="321"/>
      <c r="E3" s="321"/>
      <c r="F3" s="309"/>
      <c r="G3" s="31"/>
      <c r="H3" s="355">
        <v>401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48.75" customHeight="1">
      <c r="A4" s="26" t="s">
        <v>170</v>
      </c>
      <c r="B4" s="341" t="s">
        <v>282</v>
      </c>
      <c r="C4" s="342"/>
      <c r="D4" s="27" t="s">
        <v>8</v>
      </c>
      <c r="E4" s="12">
        <v>2024</v>
      </c>
      <c r="F4" s="346" t="s">
        <v>172</v>
      </c>
      <c r="G4" s="340"/>
      <c r="H4" s="13">
        <v>18700000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366" t="s">
        <v>283</v>
      </c>
      <c r="D5" s="321"/>
      <c r="E5" s="322"/>
      <c r="F5" s="346" t="s">
        <v>175</v>
      </c>
      <c r="G5" s="340"/>
      <c r="H5" s="320" t="s">
        <v>284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26" t="s">
        <v>18</v>
      </c>
      <c r="B6" s="28" t="s">
        <v>19</v>
      </c>
      <c r="C6" s="17" t="s">
        <v>285</v>
      </c>
      <c r="D6" s="3" t="s">
        <v>21</v>
      </c>
      <c r="E6" s="17" t="s">
        <v>286</v>
      </c>
      <c r="F6" s="358" t="s">
        <v>14</v>
      </c>
      <c r="G6" s="342"/>
      <c r="H6" s="17" t="s">
        <v>287</v>
      </c>
      <c r="I6" s="3" t="s">
        <v>16</v>
      </c>
      <c r="J6" s="17" t="s">
        <v>288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>
      <c r="A7" s="324" t="s">
        <v>23</v>
      </c>
      <c r="B7" s="325"/>
      <c r="C7" s="326" t="s">
        <v>289</v>
      </c>
      <c r="D7" s="321"/>
      <c r="E7" s="322"/>
      <c r="F7" s="359" t="s">
        <v>24</v>
      </c>
      <c r="G7" s="360"/>
      <c r="H7" s="344"/>
      <c r="I7" s="326" t="s">
        <v>226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9.75" customHeight="1">
      <c r="A10" s="315" t="s">
        <v>36</v>
      </c>
      <c r="B10" s="304" t="s">
        <v>290</v>
      </c>
      <c r="C10" s="317" t="s">
        <v>291</v>
      </c>
      <c r="D10" s="307" t="s">
        <v>292</v>
      </c>
      <c r="E10" s="307" t="s">
        <v>40</v>
      </c>
      <c r="F10" s="4"/>
      <c r="G10" s="5" t="s">
        <v>293</v>
      </c>
      <c r="H10" s="304" t="s">
        <v>294</v>
      </c>
      <c r="I10" s="307" t="s">
        <v>292</v>
      </c>
      <c r="J10" s="304" t="s">
        <v>295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>
      <c r="A11" s="305"/>
      <c r="B11" s="305"/>
      <c r="C11" s="318"/>
      <c r="D11" s="305"/>
      <c r="E11" s="305"/>
      <c r="F11" s="35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19"/>
      <c r="D12" s="306"/>
      <c r="E12" s="306"/>
      <c r="F12" s="21"/>
      <c r="G12" s="5" t="s">
        <v>291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316" t="s">
        <v>47</v>
      </c>
      <c r="B13" s="314" t="s">
        <v>296</v>
      </c>
      <c r="C13" s="307" t="s">
        <v>297</v>
      </c>
      <c r="D13" s="307" t="s">
        <v>298</v>
      </c>
      <c r="E13" s="307" t="s">
        <v>40</v>
      </c>
      <c r="F13" s="4"/>
      <c r="G13" s="5" t="s">
        <v>299</v>
      </c>
      <c r="H13" s="304" t="s">
        <v>300</v>
      </c>
      <c r="I13" s="307" t="s">
        <v>298</v>
      </c>
      <c r="J13" s="304" t="s">
        <v>301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54.75" customHeight="1">
      <c r="A14" s="305"/>
      <c r="B14" s="305"/>
      <c r="C14" s="305"/>
      <c r="D14" s="305"/>
      <c r="E14" s="305"/>
      <c r="F14" s="35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A15" s="306"/>
      <c r="B15" s="306"/>
      <c r="C15" s="306"/>
      <c r="D15" s="306"/>
      <c r="E15" s="306"/>
      <c r="F15" s="21"/>
      <c r="G15" s="5" t="s">
        <v>302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>
      <c r="A16" s="310" t="s">
        <v>56</v>
      </c>
      <c r="B16" s="304" t="s">
        <v>303</v>
      </c>
      <c r="C16" s="307" t="s">
        <v>304</v>
      </c>
      <c r="D16" s="307" t="s">
        <v>305</v>
      </c>
      <c r="E16" s="307" t="s">
        <v>40</v>
      </c>
      <c r="F16" s="4">
        <v>0</v>
      </c>
      <c r="G16" s="5" t="s">
        <v>306</v>
      </c>
      <c r="H16" s="304" t="s">
        <v>307</v>
      </c>
      <c r="I16" s="304" t="s">
        <v>308</v>
      </c>
      <c r="J16" s="304" t="s">
        <v>309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6" customHeight="1">
      <c r="A17" s="311"/>
      <c r="B17" s="305"/>
      <c r="C17" s="305"/>
      <c r="D17" s="305"/>
      <c r="E17" s="305"/>
      <c r="F17" s="356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82.5" customHeight="1">
      <c r="A18" s="311"/>
      <c r="B18" s="306"/>
      <c r="C18" s="306"/>
      <c r="D18" s="306"/>
      <c r="E18" s="306"/>
      <c r="F18" s="21"/>
      <c r="G18" s="29" t="s">
        <v>310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34.5" customHeight="1">
      <c r="A19" s="311"/>
      <c r="B19" s="304" t="s">
        <v>311</v>
      </c>
      <c r="C19" s="307" t="s">
        <v>312</v>
      </c>
      <c r="D19" s="307" t="s">
        <v>305</v>
      </c>
      <c r="E19" s="307" t="s">
        <v>40</v>
      </c>
      <c r="F19" s="4">
        <v>0</v>
      </c>
      <c r="G19" s="5" t="s">
        <v>313</v>
      </c>
      <c r="H19" s="304" t="s">
        <v>307</v>
      </c>
      <c r="I19" s="304" t="s">
        <v>308</v>
      </c>
      <c r="J19" s="304" t="s">
        <v>309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311"/>
      <c r="B20" s="305"/>
      <c r="C20" s="305"/>
      <c r="D20" s="305"/>
      <c r="E20" s="305"/>
      <c r="F20" s="356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54" customHeight="1">
      <c r="A21" s="311"/>
      <c r="B21" s="306"/>
      <c r="C21" s="306"/>
      <c r="D21" s="306"/>
      <c r="E21" s="306"/>
      <c r="F21" s="21"/>
      <c r="G21" s="29" t="s">
        <v>314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311"/>
      <c r="B22" s="304" t="s">
        <v>315</v>
      </c>
      <c r="C22" s="304" t="s">
        <v>316</v>
      </c>
      <c r="D22" s="304" t="s">
        <v>208</v>
      </c>
      <c r="E22" s="304" t="s">
        <v>40</v>
      </c>
      <c r="F22" s="32"/>
      <c r="G22" s="29" t="s">
        <v>317</v>
      </c>
      <c r="H22" s="304" t="s">
        <v>318</v>
      </c>
      <c r="I22" s="304" t="s">
        <v>208</v>
      </c>
      <c r="J22" s="304" t="s">
        <v>319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311"/>
      <c r="B23" s="305"/>
      <c r="C23" s="305"/>
      <c r="D23" s="305"/>
      <c r="E23" s="305"/>
      <c r="F23" s="32"/>
      <c r="G23" s="2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75" customHeight="1">
      <c r="A24" s="311"/>
      <c r="B24" s="306"/>
      <c r="C24" s="306"/>
      <c r="D24" s="306"/>
      <c r="E24" s="306"/>
      <c r="F24" s="32"/>
      <c r="G24" s="5" t="s">
        <v>320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34.5" customHeight="1">
      <c r="A25" s="311"/>
      <c r="B25" s="304" t="s">
        <v>321</v>
      </c>
      <c r="C25" s="307" t="s">
        <v>322</v>
      </c>
      <c r="D25" s="307" t="s">
        <v>208</v>
      </c>
      <c r="E25" s="307" t="s">
        <v>40</v>
      </c>
      <c r="F25" s="22"/>
      <c r="G25" s="22" t="s">
        <v>323</v>
      </c>
      <c r="H25" s="304" t="s">
        <v>318</v>
      </c>
      <c r="I25" s="304" t="s">
        <v>208</v>
      </c>
      <c r="J25" s="304" t="s">
        <v>319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311"/>
      <c r="B26" s="305"/>
      <c r="C26" s="305"/>
      <c r="D26" s="305"/>
      <c r="E26" s="305"/>
      <c r="F26" s="35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75.75" customHeight="1">
      <c r="A27" s="311"/>
      <c r="B27" s="306"/>
      <c r="C27" s="306"/>
      <c r="D27" s="306"/>
      <c r="E27" s="306"/>
      <c r="F27" s="21"/>
      <c r="G27" s="29" t="s">
        <v>324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311"/>
      <c r="B28" s="304" t="s">
        <v>325</v>
      </c>
      <c r="C28" s="307" t="s">
        <v>326</v>
      </c>
      <c r="D28" s="307" t="s">
        <v>208</v>
      </c>
      <c r="E28" s="307" t="s">
        <v>40</v>
      </c>
      <c r="F28" s="4"/>
      <c r="G28" s="5" t="s">
        <v>327</v>
      </c>
      <c r="H28" s="304" t="s">
        <v>328</v>
      </c>
      <c r="I28" s="304" t="s">
        <v>208</v>
      </c>
      <c r="J28" s="304" t="s">
        <v>329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311"/>
      <c r="B29" s="305"/>
      <c r="C29" s="305"/>
      <c r="D29" s="305"/>
      <c r="E29" s="305"/>
      <c r="F29" s="35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60.75" customHeight="1">
      <c r="A30" s="312"/>
      <c r="B30" s="306"/>
      <c r="C30" s="306"/>
      <c r="D30" s="306"/>
      <c r="E30" s="306"/>
      <c r="F30" s="33"/>
      <c r="G30" s="29" t="s">
        <v>324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34.5" customHeight="1">
      <c r="A31" s="315"/>
      <c r="B31" s="304" t="s">
        <v>330</v>
      </c>
      <c r="C31" s="304" t="s">
        <v>331</v>
      </c>
      <c r="D31" s="307" t="s">
        <v>208</v>
      </c>
      <c r="E31" s="307" t="s">
        <v>40</v>
      </c>
      <c r="F31" s="22"/>
      <c r="G31" s="5" t="s">
        <v>332</v>
      </c>
      <c r="H31" s="304" t="s">
        <v>333</v>
      </c>
      <c r="I31" s="304" t="s">
        <v>208</v>
      </c>
      <c r="J31" s="304" t="s">
        <v>334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305"/>
      <c r="B32" s="305"/>
      <c r="C32" s="305"/>
      <c r="D32" s="305"/>
      <c r="E32" s="305"/>
      <c r="F32" s="365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63" customHeight="1">
      <c r="A33" s="305"/>
      <c r="B33" s="306"/>
      <c r="C33" s="306"/>
      <c r="D33" s="305"/>
      <c r="E33" s="305"/>
      <c r="F33" s="23"/>
      <c r="G33" s="5" t="s">
        <v>335</v>
      </c>
      <c r="H33" s="305"/>
      <c r="I33" s="305"/>
      <c r="J33" s="30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305"/>
      <c r="B34" s="304" t="s">
        <v>336</v>
      </c>
      <c r="C34" s="307" t="s">
        <v>337</v>
      </c>
      <c r="D34" s="305"/>
      <c r="E34" s="305"/>
      <c r="F34" s="22"/>
      <c r="G34" s="5" t="s">
        <v>338</v>
      </c>
      <c r="H34" s="305"/>
      <c r="I34" s="305"/>
      <c r="J34" s="30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8.5" customHeight="1">
      <c r="A35" s="305"/>
      <c r="B35" s="305"/>
      <c r="C35" s="305"/>
      <c r="D35" s="305"/>
      <c r="E35" s="305"/>
      <c r="F35" s="365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2.75" customHeight="1">
      <c r="A36" s="305"/>
      <c r="B36" s="306"/>
      <c r="C36" s="306"/>
      <c r="D36" s="305"/>
      <c r="E36" s="305"/>
      <c r="F36" s="23"/>
      <c r="G36" s="5" t="s">
        <v>339</v>
      </c>
      <c r="H36" s="305"/>
      <c r="I36" s="305"/>
      <c r="J36" s="30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305"/>
      <c r="B37" s="304" t="s">
        <v>340</v>
      </c>
      <c r="C37" s="307" t="s">
        <v>341</v>
      </c>
      <c r="D37" s="305"/>
      <c r="E37" s="305"/>
      <c r="F37" s="34"/>
      <c r="G37" s="5" t="s">
        <v>342</v>
      </c>
      <c r="H37" s="305"/>
      <c r="I37" s="305"/>
      <c r="J37" s="30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305"/>
      <c r="B38" s="305"/>
      <c r="C38" s="305"/>
      <c r="D38" s="305"/>
      <c r="E38" s="305"/>
      <c r="F38" s="365" t="s">
        <v>45</v>
      </c>
      <c r="G38" s="309"/>
      <c r="H38" s="305"/>
      <c r="I38" s="305"/>
      <c r="J38" s="30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305"/>
      <c r="B39" s="306"/>
      <c r="C39" s="306"/>
      <c r="D39" s="305"/>
      <c r="E39" s="305"/>
      <c r="F39" s="34"/>
      <c r="G39" s="5" t="s">
        <v>338</v>
      </c>
      <c r="H39" s="305"/>
      <c r="I39" s="305"/>
      <c r="J39" s="30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305"/>
      <c r="B40" s="304" t="s">
        <v>343</v>
      </c>
      <c r="C40" s="307" t="s">
        <v>344</v>
      </c>
      <c r="D40" s="305"/>
      <c r="E40" s="305"/>
      <c r="F40" s="22"/>
      <c r="G40" s="5" t="s">
        <v>345</v>
      </c>
      <c r="H40" s="305"/>
      <c r="I40" s="305"/>
      <c r="J40" s="30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305"/>
      <c r="B41" s="305"/>
      <c r="C41" s="305"/>
      <c r="D41" s="305"/>
      <c r="E41" s="305"/>
      <c r="F41" s="365" t="s">
        <v>45</v>
      </c>
      <c r="G41" s="309"/>
      <c r="H41" s="305"/>
      <c r="I41" s="305"/>
      <c r="J41" s="30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306"/>
      <c r="B42" s="306"/>
      <c r="C42" s="306"/>
      <c r="D42" s="306"/>
      <c r="E42" s="306"/>
      <c r="F42" s="23"/>
      <c r="G42" s="5" t="s">
        <v>346</v>
      </c>
      <c r="H42" s="306"/>
      <c r="I42" s="306"/>
      <c r="J42" s="306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00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F11:G11"/>
    <mergeCell ref="A10:A12"/>
    <mergeCell ref="B10:B12"/>
    <mergeCell ref="C10:C12"/>
    <mergeCell ref="D10:D12"/>
    <mergeCell ref="E10:E12"/>
    <mergeCell ref="I10:I12"/>
    <mergeCell ref="J10:J12"/>
    <mergeCell ref="H16:H18"/>
    <mergeCell ref="I16:I18"/>
    <mergeCell ref="J16:J18"/>
    <mergeCell ref="I13:I15"/>
    <mergeCell ref="J13:J15"/>
    <mergeCell ref="H13:H15"/>
    <mergeCell ref="H10:H12"/>
    <mergeCell ref="F17:G17"/>
    <mergeCell ref="A13:A15"/>
    <mergeCell ref="B13:B15"/>
    <mergeCell ref="C13:C15"/>
    <mergeCell ref="D13:D15"/>
    <mergeCell ref="E13:E15"/>
    <mergeCell ref="B16:B18"/>
    <mergeCell ref="F14:G14"/>
    <mergeCell ref="D16:D18"/>
    <mergeCell ref="E16:E18"/>
    <mergeCell ref="J19:J21"/>
    <mergeCell ref="F20:G20"/>
    <mergeCell ref="C22:C24"/>
    <mergeCell ref="D22:D24"/>
    <mergeCell ref="H19:H21"/>
    <mergeCell ref="H22:H24"/>
    <mergeCell ref="I22:I24"/>
    <mergeCell ref="J22:J24"/>
    <mergeCell ref="C19:C21"/>
    <mergeCell ref="D19:D21"/>
    <mergeCell ref="E19:E21"/>
    <mergeCell ref="I19:I21"/>
    <mergeCell ref="I25:I27"/>
    <mergeCell ref="J25:J27"/>
    <mergeCell ref="B25:B27"/>
    <mergeCell ref="C25:C27"/>
    <mergeCell ref="B37:B39"/>
    <mergeCell ref="C37:C39"/>
    <mergeCell ref="D31:D42"/>
    <mergeCell ref="E31:E42"/>
    <mergeCell ref="D28:D30"/>
    <mergeCell ref="E28:E30"/>
    <mergeCell ref="I28:I30"/>
    <mergeCell ref="J28:J30"/>
    <mergeCell ref="F29:G29"/>
    <mergeCell ref="F32:G32"/>
    <mergeCell ref="H28:H30"/>
    <mergeCell ref="H31:H42"/>
    <mergeCell ref="B28:B30"/>
    <mergeCell ref="C28:C30"/>
    <mergeCell ref="A31:A42"/>
    <mergeCell ref="B31:B33"/>
    <mergeCell ref="C31:C33"/>
    <mergeCell ref="A16:A30"/>
    <mergeCell ref="C16:C18"/>
    <mergeCell ref="B19:B21"/>
    <mergeCell ref="B22:B24"/>
    <mergeCell ref="D25:D27"/>
    <mergeCell ref="E25:E27"/>
    <mergeCell ref="H25:H27"/>
    <mergeCell ref="F26:G26"/>
    <mergeCell ref="E22:E24"/>
    <mergeCell ref="I31:I42"/>
    <mergeCell ref="J31:J42"/>
    <mergeCell ref="B34:B36"/>
    <mergeCell ref="C34:C36"/>
    <mergeCell ref="F35:G35"/>
    <mergeCell ref="F38:G38"/>
    <mergeCell ref="F41:G41"/>
    <mergeCell ref="B40:B42"/>
    <mergeCell ref="C40:C42"/>
  </mergeCells>
  <conditionalFormatting sqref="F12">
    <cfRule type="cellIs" dxfId="288" priority="1" operator="lessThan">
      <formula>$F$16</formula>
    </cfRule>
    <cfRule type="cellIs" dxfId="287" priority="2" operator="greaterThanOrEqual">
      <formula>$F$16</formula>
    </cfRule>
  </conditionalFormatting>
  <conditionalFormatting sqref="F15">
    <cfRule type="cellIs" dxfId="286" priority="3" operator="lessThan">
      <formula>$F$16</formula>
    </cfRule>
    <cfRule type="cellIs" dxfId="285" priority="4" operator="greaterThanOrEqual">
      <formula>$F$16</formula>
    </cfRule>
  </conditionalFormatting>
  <conditionalFormatting sqref="F18">
    <cfRule type="cellIs" dxfId="284" priority="5" operator="lessThan">
      <formula>$F$16</formula>
    </cfRule>
    <cfRule type="cellIs" dxfId="283" priority="6" operator="greaterThanOrEqual">
      <formula>$F$16</formula>
    </cfRule>
  </conditionalFormatting>
  <conditionalFormatting sqref="F21:F24">
    <cfRule type="cellIs" dxfId="282" priority="7" operator="lessThan">
      <formula>$F$16</formula>
    </cfRule>
    <cfRule type="cellIs" dxfId="281" priority="8" operator="greaterThanOrEqual">
      <formula>$F$16</formula>
    </cfRule>
  </conditionalFormatting>
  <conditionalFormatting sqref="F27">
    <cfRule type="cellIs" dxfId="280" priority="9" operator="lessThan">
      <formula>$F$16</formula>
    </cfRule>
    <cfRule type="cellIs" dxfId="279" priority="10" operator="greaterThanOrEqual">
      <formula>$F$16</formula>
    </cfRule>
  </conditionalFormatting>
  <conditionalFormatting sqref="F30">
    <cfRule type="cellIs" dxfId="278" priority="11" operator="lessThan">
      <formula>$F$16</formula>
    </cfRule>
    <cfRule type="cellIs" dxfId="277" priority="12" operator="greaterThanOrEqual">
      <formula>$F$16</formula>
    </cfRule>
  </conditionalFormatting>
  <conditionalFormatting sqref="F33">
    <cfRule type="cellIs" dxfId="276" priority="13" operator="lessThan">
      <formula>$F$16</formula>
    </cfRule>
    <cfRule type="cellIs" dxfId="275" priority="14" operator="greaterThanOrEqual">
      <formula>$F$16</formula>
    </cfRule>
  </conditionalFormatting>
  <conditionalFormatting sqref="F36:F37 F39">
    <cfRule type="cellIs" dxfId="274" priority="15" operator="lessThan">
      <formula>$F$16</formula>
    </cfRule>
    <cfRule type="cellIs" dxfId="273" priority="16" operator="greaterThanOrEqual">
      <formula>$F$16</formula>
    </cfRule>
  </conditionalFormatting>
  <conditionalFormatting sqref="F42">
    <cfRule type="cellIs" dxfId="272" priority="17" operator="lessThan">
      <formula>$F$16</formula>
    </cfRule>
    <cfRule type="cellIs" dxfId="271" priority="18" operator="greaterThanOrEqual">
      <formula>$F$16</formula>
    </cfRule>
  </conditionalFormatting>
  <conditionalFormatting sqref="J4">
    <cfRule type="cellIs" dxfId="270" priority="19" operator="lessThan">
      <formula>$H$4</formula>
    </cfRule>
    <cfRule type="cellIs" dxfId="269" priority="20" operator="greaterThan">
      <formula>$H$4</formula>
    </cfRule>
  </conditionalFormatting>
  <pageMargins left="0.7" right="0.7" top="0.75" bottom="0.75" header="0" footer="0"/>
  <pageSetup scale="22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30.875" customWidth="1"/>
    <col min="2" max="2" width="25.5" customWidth="1"/>
    <col min="3" max="3" width="38.875" customWidth="1"/>
    <col min="4" max="4" width="25.875" customWidth="1"/>
    <col min="5" max="5" width="34.625" customWidth="1"/>
    <col min="6" max="6" width="33" customWidth="1"/>
    <col min="7" max="7" width="49" customWidth="1"/>
    <col min="8" max="8" width="30.125" customWidth="1"/>
    <col min="9" max="9" width="40.625" customWidth="1"/>
    <col min="10" max="10" width="30.5" customWidth="1"/>
    <col min="11" max="26" width="10.5" customWidth="1"/>
  </cols>
  <sheetData>
    <row r="1" spans="1:26" ht="15.75" customHeight="1">
      <c r="A1" s="367"/>
      <c r="B1" s="348"/>
      <c r="C1" s="367" t="s">
        <v>347</v>
      </c>
      <c r="D1" s="350"/>
      <c r="E1" s="350"/>
      <c r="F1" s="350"/>
      <c r="G1" s="336"/>
      <c r="H1" s="30" t="s">
        <v>167</v>
      </c>
      <c r="I1" s="368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07" customHeight="1">
      <c r="A2" s="337"/>
      <c r="B2" s="349"/>
      <c r="C2" s="337"/>
      <c r="D2" s="351"/>
      <c r="E2" s="351"/>
      <c r="F2" s="351"/>
      <c r="G2" s="338"/>
      <c r="H2" s="30" t="s">
        <v>169</v>
      </c>
      <c r="I2" s="369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43" t="s">
        <v>4</v>
      </c>
      <c r="B3" s="360"/>
      <c r="C3" s="360"/>
      <c r="D3" s="360"/>
      <c r="E3" s="360"/>
      <c r="F3" s="374"/>
      <c r="G3" s="35"/>
      <c r="H3" s="355">
        <v>501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>
      <c r="A4" s="26" t="s">
        <v>170</v>
      </c>
      <c r="B4" s="330" t="s">
        <v>348</v>
      </c>
      <c r="C4" s="322"/>
      <c r="D4" s="27" t="s">
        <v>8</v>
      </c>
      <c r="E4" s="12">
        <v>2024</v>
      </c>
      <c r="F4" s="330" t="s">
        <v>172</v>
      </c>
      <c r="G4" s="322"/>
      <c r="H4" s="13">
        <v>60000000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366" t="s">
        <v>349</v>
      </c>
      <c r="D5" s="321"/>
      <c r="E5" s="322"/>
      <c r="F5" s="330" t="s">
        <v>175</v>
      </c>
      <c r="G5" s="322"/>
      <c r="H5" s="320" t="s">
        <v>350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99" customHeight="1">
      <c r="A6" s="26" t="s">
        <v>18</v>
      </c>
      <c r="B6" s="28" t="s">
        <v>19</v>
      </c>
      <c r="C6" s="17" t="s">
        <v>351</v>
      </c>
      <c r="D6" s="3" t="s">
        <v>21</v>
      </c>
      <c r="E6" s="17" t="s">
        <v>352</v>
      </c>
      <c r="F6" s="358" t="s">
        <v>14</v>
      </c>
      <c r="G6" s="342"/>
      <c r="H6" s="17" t="s">
        <v>353</v>
      </c>
      <c r="I6" s="3" t="s">
        <v>16</v>
      </c>
      <c r="J6" s="17" t="s">
        <v>354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8" customHeight="1">
      <c r="A7" s="324" t="s">
        <v>23</v>
      </c>
      <c r="B7" s="325"/>
      <c r="C7" s="326" t="s">
        <v>355</v>
      </c>
      <c r="D7" s="321"/>
      <c r="E7" s="322"/>
      <c r="F7" s="359" t="s">
        <v>24</v>
      </c>
      <c r="G7" s="360"/>
      <c r="H7" s="344"/>
      <c r="I7" s="326" t="s">
        <v>226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8" customHeight="1">
      <c r="A10" s="315" t="s">
        <v>36</v>
      </c>
      <c r="B10" s="371" t="s">
        <v>356</v>
      </c>
      <c r="C10" s="317" t="s">
        <v>113</v>
      </c>
      <c r="D10" s="307" t="s">
        <v>114</v>
      </c>
      <c r="E10" s="307" t="s">
        <v>40</v>
      </c>
      <c r="F10" s="4">
        <v>68.39</v>
      </c>
      <c r="G10" s="5" t="s">
        <v>357</v>
      </c>
      <c r="H10" s="304" t="s">
        <v>358</v>
      </c>
      <c r="I10" s="304" t="s">
        <v>359</v>
      </c>
      <c r="J10" s="304" t="s">
        <v>360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>
      <c r="A11" s="305"/>
      <c r="B11" s="305"/>
      <c r="C11" s="318"/>
      <c r="D11" s="305"/>
      <c r="E11" s="305"/>
      <c r="F11" s="35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19"/>
      <c r="D12" s="306"/>
      <c r="E12" s="306"/>
      <c r="F12" s="21"/>
      <c r="G12" s="5" t="s">
        <v>361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72" customHeight="1">
      <c r="A13" s="316" t="s">
        <v>47</v>
      </c>
      <c r="B13" s="371" t="s">
        <v>362</v>
      </c>
      <c r="C13" s="307" t="s">
        <v>363</v>
      </c>
      <c r="D13" s="307" t="s">
        <v>364</v>
      </c>
      <c r="E13" s="307" t="s">
        <v>365</v>
      </c>
      <c r="F13" s="4">
        <v>7.92</v>
      </c>
      <c r="G13" s="5" t="s">
        <v>366</v>
      </c>
      <c r="H13" s="304" t="s">
        <v>367</v>
      </c>
      <c r="I13" s="304" t="s">
        <v>368</v>
      </c>
      <c r="J13" s="304" t="s">
        <v>369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7.5" customHeight="1">
      <c r="A14" s="305"/>
      <c r="B14" s="305"/>
      <c r="C14" s="305"/>
      <c r="D14" s="305"/>
      <c r="E14" s="305"/>
      <c r="F14" s="35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70.5" customHeight="1">
      <c r="A15" s="306"/>
      <c r="B15" s="306"/>
      <c r="C15" s="306"/>
      <c r="D15" s="306"/>
      <c r="E15" s="306"/>
      <c r="F15" s="21"/>
      <c r="G15" s="5" t="s">
        <v>370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30.75" customHeight="1">
      <c r="A16" s="310" t="s">
        <v>56</v>
      </c>
      <c r="B16" s="372" t="s">
        <v>371</v>
      </c>
      <c r="C16" s="307" t="s">
        <v>372</v>
      </c>
      <c r="D16" s="307" t="s">
        <v>373</v>
      </c>
      <c r="E16" s="307" t="s">
        <v>374</v>
      </c>
      <c r="F16" s="4">
        <v>52.57</v>
      </c>
      <c r="G16" s="5" t="s">
        <v>375</v>
      </c>
      <c r="H16" s="304" t="s">
        <v>376</v>
      </c>
      <c r="I16" s="304" t="s">
        <v>373</v>
      </c>
      <c r="J16" s="304" t="s">
        <v>377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4.75" customHeight="1">
      <c r="A17" s="311"/>
      <c r="B17" s="305"/>
      <c r="C17" s="305"/>
      <c r="D17" s="305"/>
      <c r="E17" s="305"/>
      <c r="F17" s="370" t="s">
        <v>45</v>
      </c>
      <c r="G17" s="322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36" customHeight="1">
      <c r="A18" s="311"/>
      <c r="B18" s="306"/>
      <c r="C18" s="306"/>
      <c r="D18" s="306"/>
      <c r="E18" s="306"/>
      <c r="F18" s="21"/>
      <c r="G18" s="29" t="s">
        <v>250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8" customHeight="1">
      <c r="A19" s="311"/>
      <c r="B19" s="371" t="s">
        <v>378</v>
      </c>
      <c r="C19" s="307" t="s">
        <v>379</v>
      </c>
      <c r="D19" s="307" t="s">
        <v>380</v>
      </c>
      <c r="E19" s="307" t="s">
        <v>40</v>
      </c>
      <c r="F19" s="4">
        <v>80</v>
      </c>
      <c r="G19" s="5" t="s">
        <v>381</v>
      </c>
      <c r="H19" s="304" t="s">
        <v>382</v>
      </c>
      <c r="I19" s="304" t="s">
        <v>383</v>
      </c>
      <c r="J19" s="304" t="s">
        <v>384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2" customHeight="1">
      <c r="A20" s="311"/>
      <c r="B20" s="305"/>
      <c r="C20" s="305"/>
      <c r="D20" s="305"/>
      <c r="E20" s="305"/>
      <c r="F20" s="370" t="s">
        <v>45</v>
      </c>
      <c r="G20" s="322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34.5" customHeight="1">
      <c r="A21" s="311"/>
      <c r="B21" s="306"/>
      <c r="C21" s="306"/>
      <c r="D21" s="306"/>
      <c r="E21" s="306"/>
      <c r="F21" s="21"/>
      <c r="G21" s="29" t="s">
        <v>385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30" customHeight="1">
      <c r="A22" s="311"/>
      <c r="B22" s="371" t="s">
        <v>386</v>
      </c>
      <c r="C22" s="307" t="s">
        <v>387</v>
      </c>
      <c r="D22" s="307" t="s">
        <v>388</v>
      </c>
      <c r="E22" s="307" t="s">
        <v>40</v>
      </c>
      <c r="F22" s="4">
        <v>93.4</v>
      </c>
      <c r="G22" s="5" t="s">
        <v>389</v>
      </c>
      <c r="H22" s="304" t="s">
        <v>390</v>
      </c>
      <c r="I22" s="304" t="s">
        <v>391</v>
      </c>
      <c r="J22" s="304" t="s">
        <v>392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54.75" customHeight="1">
      <c r="A23" s="311"/>
      <c r="B23" s="305"/>
      <c r="C23" s="305"/>
      <c r="D23" s="305"/>
      <c r="E23" s="305"/>
      <c r="F23" s="370" t="s">
        <v>45</v>
      </c>
      <c r="G23" s="322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36.75" customHeight="1">
      <c r="A24" s="311"/>
      <c r="B24" s="306"/>
      <c r="C24" s="306"/>
      <c r="D24" s="306"/>
      <c r="E24" s="306"/>
      <c r="F24" s="21"/>
      <c r="G24" s="29" t="s">
        <v>250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35.75" customHeight="1">
      <c r="A25" s="311"/>
      <c r="B25" s="372" t="s">
        <v>393</v>
      </c>
      <c r="C25" s="307" t="s">
        <v>394</v>
      </c>
      <c r="D25" s="307" t="s">
        <v>395</v>
      </c>
      <c r="E25" s="307" t="s">
        <v>40</v>
      </c>
      <c r="F25" s="4">
        <v>14.97</v>
      </c>
      <c r="G25" s="5" t="s">
        <v>396</v>
      </c>
      <c r="H25" s="304" t="s">
        <v>397</v>
      </c>
      <c r="I25" s="304" t="s">
        <v>398</v>
      </c>
      <c r="J25" s="304" t="s">
        <v>399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311"/>
      <c r="B26" s="305"/>
      <c r="C26" s="305"/>
      <c r="D26" s="305"/>
      <c r="E26" s="305"/>
      <c r="F26" s="35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7" customHeight="1">
      <c r="A27" s="311"/>
      <c r="B27" s="306"/>
      <c r="C27" s="306"/>
      <c r="D27" s="306"/>
      <c r="E27" s="306"/>
      <c r="F27" s="21"/>
      <c r="G27" s="29" t="s">
        <v>400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34.5" customHeight="1">
      <c r="A28" s="311"/>
      <c r="B28" s="372" t="s">
        <v>401</v>
      </c>
      <c r="C28" s="307" t="s">
        <v>402</v>
      </c>
      <c r="D28" s="307" t="s">
        <v>395</v>
      </c>
      <c r="E28" s="307" t="s">
        <v>40</v>
      </c>
      <c r="F28" s="4">
        <v>0</v>
      </c>
      <c r="G28" s="5" t="s">
        <v>403</v>
      </c>
      <c r="H28" s="304" t="s">
        <v>404</v>
      </c>
      <c r="I28" s="304" t="s">
        <v>208</v>
      </c>
      <c r="J28" s="304" t="s">
        <v>405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311"/>
      <c r="B29" s="305"/>
      <c r="C29" s="305"/>
      <c r="D29" s="305"/>
      <c r="E29" s="305"/>
      <c r="F29" s="35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93.75" customHeight="1">
      <c r="A30" s="311"/>
      <c r="B30" s="306"/>
      <c r="C30" s="306"/>
      <c r="D30" s="306"/>
      <c r="E30" s="306"/>
      <c r="F30" s="21"/>
      <c r="G30" s="5" t="s">
        <v>406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8" customHeight="1">
      <c r="A31" s="311"/>
      <c r="B31" s="372" t="s">
        <v>407</v>
      </c>
      <c r="C31" s="307" t="s">
        <v>408</v>
      </c>
      <c r="D31" s="307" t="s">
        <v>380</v>
      </c>
      <c r="E31" s="307" t="s">
        <v>40</v>
      </c>
      <c r="F31" s="4">
        <v>94.41</v>
      </c>
      <c r="G31" s="5" t="s">
        <v>409</v>
      </c>
      <c r="H31" s="304" t="s">
        <v>410</v>
      </c>
      <c r="I31" s="304" t="s">
        <v>411</v>
      </c>
      <c r="J31" s="304" t="s">
        <v>412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63.75" customHeight="1">
      <c r="A32" s="311"/>
      <c r="B32" s="305"/>
      <c r="C32" s="305"/>
      <c r="D32" s="305"/>
      <c r="E32" s="305"/>
      <c r="F32" s="356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6.5" customHeight="1">
      <c r="A33" s="328"/>
      <c r="B33" s="306"/>
      <c r="C33" s="306"/>
      <c r="D33" s="306"/>
      <c r="E33" s="306"/>
      <c r="F33" s="21"/>
      <c r="G33" s="29" t="s">
        <v>413</v>
      </c>
      <c r="H33" s="306"/>
      <c r="I33" s="306"/>
      <c r="J33" s="30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8" customHeight="1">
      <c r="A34" s="315" t="s">
        <v>80</v>
      </c>
      <c r="B34" s="372" t="s">
        <v>414</v>
      </c>
      <c r="C34" s="307" t="s">
        <v>415</v>
      </c>
      <c r="D34" s="307" t="s">
        <v>395</v>
      </c>
      <c r="E34" s="307" t="s">
        <v>40</v>
      </c>
      <c r="F34" s="22"/>
      <c r="G34" s="5" t="s">
        <v>416</v>
      </c>
      <c r="H34" s="304" t="s">
        <v>417</v>
      </c>
      <c r="I34" s="304" t="s">
        <v>208</v>
      </c>
      <c r="J34" s="304" t="s">
        <v>418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305"/>
      <c r="B35" s="305"/>
      <c r="C35" s="305"/>
      <c r="D35" s="305"/>
      <c r="E35" s="305"/>
      <c r="F35" s="365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305"/>
      <c r="B36" s="305"/>
      <c r="C36" s="306"/>
      <c r="D36" s="305"/>
      <c r="E36" s="305"/>
      <c r="F36" s="23"/>
      <c r="G36" s="5" t="s">
        <v>419</v>
      </c>
      <c r="H36" s="306"/>
      <c r="I36" s="306"/>
      <c r="J36" s="306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34.5" customHeight="1">
      <c r="A37" s="305"/>
      <c r="B37" s="305"/>
      <c r="C37" s="304" t="s">
        <v>420</v>
      </c>
      <c r="D37" s="305"/>
      <c r="E37" s="305"/>
      <c r="F37" s="22"/>
      <c r="G37" s="5" t="s">
        <v>416</v>
      </c>
      <c r="H37" s="304" t="s">
        <v>417</v>
      </c>
      <c r="I37" s="304" t="s">
        <v>208</v>
      </c>
      <c r="J37" s="304" t="s">
        <v>418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6.5" customHeight="1">
      <c r="A38" s="305"/>
      <c r="B38" s="305"/>
      <c r="C38" s="305"/>
      <c r="D38" s="305"/>
      <c r="E38" s="305"/>
      <c r="F38" s="365" t="s">
        <v>45</v>
      </c>
      <c r="G38" s="309"/>
      <c r="H38" s="305"/>
      <c r="I38" s="305"/>
      <c r="J38" s="30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305"/>
      <c r="B39" s="305"/>
      <c r="C39" s="306"/>
      <c r="D39" s="305"/>
      <c r="E39" s="305"/>
      <c r="F39" s="23"/>
      <c r="G39" s="5" t="s">
        <v>419</v>
      </c>
      <c r="H39" s="306"/>
      <c r="I39" s="306"/>
      <c r="J39" s="306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305"/>
      <c r="B40" s="305"/>
      <c r="C40" s="307" t="s">
        <v>421</v>
      </c>
      <c r="D40" s="305"/>
      <c r="E40" s="305"/>
      <c r="F40" s="22"/>
      <c r="G40" s="5" t="s">
        <v>416</v>
      </c>
      <c r="H40" s="304" t="s">
        <v>417</v>
      </c>
      <c r="I40" s="304" t="s">
        <v>208</v>
      </c>
      <c r="J40" s="304" t="s">
        <v>418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6.5" customHeight="1">
      <c r="A41" s="305"/>
      <c r="B41" s="305"/>
      <c r="C41" s="305"/>
      <c r="D41" s="305"/>
      <c r="E41" s="305"/>
      <c r="F41" s="365" t="s">
        <v>45</v>
      </c>
      <c r="G41" s="309"/>
      <c r="H41" s="305"/>
      <c r="I41" s="305"/>
      <c r="J41" s="30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305"/>
      <c r="B42" s="306"/>
      <c r="C42" s="306"/>
      <c r="D42" s="305"/>
      <c r="E42" s="305"/>
      <c r="F42" s="23"/>
      <c r="G42" s="5" t="s">
        <v>419</v>
      </c>
      <c r="H42" s="306"/>
      <c r="I42" s="306"/>
      <c r="J42" s="306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63" customHeight="1">
      <c r="A43" s="305"/>
      <c r="B43" s="372" t="s">
        <v>422</v>
      </c>
      <c r="C43" s="307" t="s">
        <v>423</v>
      </c>
      <c r="D43" s="305"/>
      <c r="E43" s="305"/>
      <c r="F43" s="22"/>
      <c r="G43" s="5" t="s">
        <v>416</v>
      </c>
      <c r="H43" s="304" t="s">
        <v>417</v>
      </c>
      <c r="I43" s="304" t="s">
        <v>208</v>
      </c>
      <c r="J43" s="304" t="s">
        <v>418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3.5" customHeight="1">
      <c r="A44" s="305"/>
      <c r="B44" s="305"/>
      <c r="C44" s="305"/>
      <c r="D44" s="305"/>
      <c r="E44" s="305"/>
      <c r="F44" s="365" t="s">
        <v>45</v>
      </c>
      <c r="G44" s="309"/>
      <c r="H44" s="305"/>
      <c r="I44" s="305"/>
      <c r="J44" s="30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2.5" customHeight="1">
      <c r="A45" s="305"/>
      <c r="B45" s="306"/>
      <c r="C45" s="306"/>
      <c r="D45" s="305"/>
      <c r="E45" s="305"/>
      <c r="F45" s="23"/>
      <c r="G45" s="5" t="s">
        <v>419</v>
      </c>
      <c r="H45" s="306"/>
      <c r="I45" s="306"/>
      <c r="J45" s="306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8" customHeight="1">
      <c r="A46" s="305"/>
      <c r="B46" s="371" t="s">
        <v>424</v>
      </c>
      <c r="C46" s="307" t="s">
        <v>425</v>
      </c>
      <c r="D46" s="305"/>
      <c r="E46" s="305"/>
      <c r="F46" s="22"/>
      <c r="G46" s="5" t="s">
        <v>416</v>
      </c>
      <c r="H46" s="304" t="s">
        <v>417</v>
      </c>
      <c r="I46" s="304" t="s">
        <v>208</v>
      </c>
      <c r="J46" s="304" t="s">
        <v>418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6.5" customHeight="1">
      <c r="A47" s="305"/>
      <c r="B47" s="305"/>
      <c r="C47" s="305"/>
      <c r="D47" s="305"/>
      <c r="E47" s="305"/>
      <c r="F47" s="365" t="s">
        <v>45</v>
      </c>
      <c r="G47" s="309"/>
      <c r="H47" s="305"/>
      <c r="I47" s="305"/>
      <c r="J47" s="30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62.75" customHeight="1">
      <c r="A48" s="305"/>
      <c r="B48" s="306"/>
      <c r="C48" s="306"/>
      <c r="D48" s="305"/>
      <c r="E48" s="305"/>
      <c r="F48" s="23"/>
      <c r="G48" s="5" t="s">
        <v>419</v>
      </c>
      <c r="H48" s="306"/>
      <c r="I48" s="306"/>
      <c r="J48" s="306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34.5" customHeight="1">
      <c r="A49" s="305"/>
      <c r="B49" s="372" t="s">
        <v>426</v>
      </c>
      <c r="C49" s="307" t="s">
        <v>427</v>
      </c>
      <c r="D49" s="305"/>
      <c r="E49" s="305"/>
      <c r="F49" s="36">
        <v>0.8</v>
      </c>
      <c r="G49" s="5" t="s">
        <v>428</v>
      </c>
      <c r="H49" s="304" t="s">
        <v>429</v>
      </c>
      <c r="I49" s="304" t="s">
        <v>430</v>
      </c>
      <c r="J49" s="304" t="s">
        <v>431</v>
      </c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305"/>
      <c r="B50" s="305"/>
      <c r="C50" s="305"/>
      <c r="D50" s="305"/>
      <c r="E50" s="305"/>
      <c r="F50" s="365" t="s">
        <v>45</v>
      </c>
      <c r="G50" s="309"/>
      <c r="H50" s="305"/>
      <c r="I50" s="305"/>
      <c r="J50" s="30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305"/>
      <c r="B51" s="306"/>
      <c r="C51" s="306"/>
      <c r="D51" s="305"/>
      <c r="E51" s="305"/>
      <c r="F51" s="23"/>
      <c r="G51" s="5" t="s">
        <v>432</v>
      </c>
      <c r="H51" s="306"/>
      <c r="I51" s="306"/>
      <c r="J51" s="306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 customHeight="1">
      <c r="A52" s="305"/>
      <c r="B52" s="372" t="s">
        <v>433</v>
      </c>
      <c r="C52" s="307" t="s">
        <v>434</v>
      </c>
      <c r="D52" s="305"/>
      <c r="E52" s="305"/>
      <c r="F52" s="22"/>
      <c r="G52" s="5" t="s">
        <v>416</v>
      </c>
      <c r="H52" s="304" t="s">
        <v>417</v>
      </c>
      <c r="I52" s="304" t="s">
        <v>208</v>
      </c>
      <c r="J52" s="304" t="s">
        <v>418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6.5" customHeight="1">
      <c r="A53" s="305"/>
      <c r="B53" s="305"/>
      <c r="C53" s="305"/>
      <c r="D53" s="305"/>
      <c r="E53" s="305"/>
      <c r="F53" s="365" t="s">
        <v>45</v>
      </c>
      <c r="G53" s="309"/>
      <c r="H53" s="305"/>
      <c r="I53" s="305"/>
      <c r="J53" s="30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35.75" customHeight="1">
      <c r="A54" s="305"/>
      <c r="B54" s="306"/>
      <c r="C54" s="306"/>
      <c r="D54" s="305"/>
      <c r="E54" s="305"/>
      <c r="F54" s="23"/>
      <c r="G54" s="5" t="s">
        <v>419</v>
      </c>
      <c r="H54" s="306"/>
      <c r="I54" s="306"/>
      <c r="J54" s="306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 customHeight="1">
      <c r="A55" s="305"/>
      <c r="B55" s="372" t="s">
        <v>435</v>
      </c>
      <c r="C55" s="373" t="s">
        <v>436</v>
      </c>
      <c r="D55" s="305"/>
      <c r="E55" s="305"/>
      <c r="F55" s="22"/>
      <c r="G55" s="5" t="s">
        <v>437</v>
      </c>
      <c r="H55" s="304" t="s">
        <v>438</v>
      </c>
      <c r="I55" s="304" t="s">
        <v>395</v>
      </c>
      <c r="J55" s="304" t="s">
        <v>439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51" customHeight="1">
      <c r="A56" s="305"/>
      <c r="B56" s="305"/>
      <c r="C56" s="305"/>
      <c r="D56" s="305"/>
      <c r="E56" s="305"/>
      <c r="F56" s="365" t="s">
        <v>45</v>
      </c>
      <c r="G56" s="309"/>
      <c r="H56" s="305"/>
      <c r="I56" s="305"/>
      <c r="J56" s="30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51" customHeight="1">
      <c r="A57" s="305"/>
      <c r="B57" s="306"/>
      <c r="C57" s="306"/>
      <c r="D57" s="305"/>
      <c r="E57" s="305"/>
      <c r="F57" s="23"/>
      <c r="G57" s="5" t="s">
        <v>440</v>
      </c>
      <c r="H57" s="306"/>
      <c r="I57" s="306"/>
      <c r="J57" s="306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51" customHeight="1">
      <c r="A58" s="305"/>
      <c r="B58" s="372" t="s">
        <v>441</v>
      </c>
      <c r="C58" s="307" t="s">
        <v>442</v>
      </c>
      <c r="D58" s="305"/>
      <c r="E58" s="305"/>
      <c r="F58" s="36">
        <v>0.8</v>
      </c>
      <c r="G58" s="5" t="s">
        <v>443</v>
      </c>
      <c r="H58" s="304" t="s">
        <v>444</v>
      </c>
      <c r="I58" s="304" t="s">
        <v>208</v>
      </c>
      <c r="J58" s="304" t="s">
        <v>445</v>
      </c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51" customHeight="1">
      <c r="A59" s="305"/>
      <c r="B59" s="305"/>
      <c r="C59" s="305"/>
      <c r="D59" s="305"/>
      <c r="E59" s="305"/>
      <c r="F59" s="365" t="s">
        <v>45</v>
      </c>
      <c r="G59" s="309"/>
      <c r="H59" s="305"/>
      <c r="I59" s="305"/>
      <c r="J59" s="30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51" customHeight="1">
      <c r="A60" s="305"/>
      <c r="B60" s="306"/>
      <c r="C60" s="306"/>
      <c r="D60" s="305"/>
      <c r="E60" s="305"/>
      <c r="F60" s="23"/>
      <c r="G60" s="5" t="s">
        <v>419</v>
      </c>
      <c r="H60" s="306"/>
      <c r="I60" s="306"/>
      <c r="J60" s="306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51" customHeight="1">
      <c r="A61" s="305"/>
      <c r="B61" s="372" t="s">
        <v>446</v>
      </c>
      <c r="C61" s="307" t="s">
        <v>447</v>
      </c>
      <c r="D61" s="305"/>
      <c r="E61" s="305"/>
      <c r="F61" s="22"/>
      <c r="G61" s="5" t="s">
        <v>416</v>
      </c>
      <c r="H61" s="304" t="s">
        <v>417</v>
      </c>
      <c r="I61" s="304" t="s">
        <v>208</v>
      </c>
      <c r="J61" s="304" t="s">
        <v>418</v>
      </c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99.75" customHeight="1">
      <c r="A62" s="305"/>
      <c r="B62" s="305"/>
      <c r="C62" s="305"/>
      <c r="D62" s="305"/>
      <c r="E62" s="305"/>
      <c r="F62" s="365" t="s">
        <v>45</v>
      </c>
      <c r="G62" s="309"/>
      <c r="H62" s="305"/>
      <c r="I62" s="305"/>
      <c r="J62" s="30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72.75" customHeight="1">
      <c r="A63" s="305"/>
      <c r="B63" s="306"/>
      <c r="C63" s="306"/>
      <c r="D63" s="305"/>
      <c r="E63" s="305"/>
      <c r="F63" s="23"/>
      <c r="G63" s="5" t="s">
        <v>419</v>
      </c>
      <c r="H63" s="306"/>
      <c r="I63" s="306"/>
      <c r="J63" s="306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51" customHeight="1">
      <c r="A64" s="305"/>
      <c r="B64" s="372" t="s">
        <v>448</v>
      </c>
      <c r="C64" s="307" t="s">
        <v>449</v>
      </c>
      <c r="D64" s="305"/>
      <c r="E64" s="305"/>
      <c r="F64" s="22"/>
      <c r="G64" s="5" t="s">
        <v>416</v>
      </c>
      <c r="H64" s="304" t="s">
        <v>450</v>
      </c>
      <c r="I64" s="304" t="s">
        <v>208</v>
      </c>
      <c r="J64" s="304" t="s">
        <v>451</v>
      </c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51" customHeight="1">
      <c r="A65" s="305"/>
      <c r="B65" s="305"/>
      <c r="C65" s="305"/>
      <c r="D65" s="305"/>
      <c r="E65" s="305"/>
      <c r="F65" s="365" t="s">
        <v>45</v>
      </c>
      <c r="G65" s="309"/>
      <c r="H65" s="305"/>
      <c r="I65" s="305"/>
      <c r="J65" s="30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51" customHeight="1">
      <c r="A66" s="305"/>
      <c r="B66" s="306"/>
      <c r="C66" s="306"/>
      <c r="D66" s="305"/>
      <c r="E66" s="305"/>
      <c r="F66" s="23"/>
      <c r="G66" s="5" t="s">
        <v>419</v>
      </c>
      <c r="H66" s="306"/>
      <c r="I66" s="306"/>
      <c r="J66" s="306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51" customHeight="1">
      <c r="A67" s="305"/>
      <c r="B67" s="372" t="s">
        <v>452</v>
      </c>
      <c r="C67" s="307" t="s">
        <v>453</v>
      </c>
      <c r="D67" s="305"/>
      <c r="E67" s="305"/>
      <c r="F67" s="22"/>
      <c r="G67" s="5" t="s">
        <v>454</v>
      </c>
      <c r="H67" s="304" t="s">
        <v>455</v>
      </c>
      <c r="I67" s="304" t="s">
        <v>208</v>
      </c>
      <c r="J67" s="304" t="s">
        <v>456</v>
      </c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51" customHeight="1">
      <c r="A68" s="305"/>
      <c r="B68" s="305"/>
      <c r="C68" s="305"/>
      <c r="D68" s="305"/>
      <c r="E68" s="305"/>
      <c r="F68" s="365" t="s">
        <v>45</v>
      </c>
      <c r="G68" s="309"/>
      <c r="H68" s="305"/>
      <c r="I68" s="305"/>
      <c r="J68" s="30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51" customHeight="1">
      <c r="A69" s="305"/>
      <c r="B69" s="306"/>
      <c r="C69" s="306"/>
      <c r="D69" s="305"/>
      <c r="E69" s="305"/>
      <c r="F69" s="23"/>
      <c r="G69" s="5" t="s">
        <v>457</v>
      </c>
      <c r="H69" s="306"/>
      <c r="I69" s="306"/>
      <c r="J69" s="306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 customHeight="1">
      <c r="A70" s="305"/>
      <c r="B70" s="372" t="s">
        <v>458</v>
      </c>
      <c r="C70" s="307" t="s">
        <v>459</v>
      </c>
      <c r="D70" s="305"/>
      <c r="E70" s="305"/>
      <c r="F70" s="22"/>
      <c r="G70" s="5" t="s">
        <v>460</v>
      </c>
      <c r="H70" s="304" t="s">
        <v>461</v>
      </c>
      <c r="I70" s="304" t="s">
        <v>462</v>
      </c>
      <c r="J70" s="304" t="s">
        <v>463</v>
      </c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6.5" customHeight="1">
      <c r="A71" s="305"/>
      <c r="B71" s="305"/>
      <c r="C71" s="305"/>
      <c r="D71" s="305"/>
      <c r="E71" s="305"/>
      <c r="F71" s="365" t="s">
        <v>45</v>
      </c>
      <c r="G71" s="309"/>
      <c r="H71" s="305"/>
      <c r="I71" s="305"/>
      <c r="J71" s="30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32" customHeight="1">
      <c r="A72" s="357"/>
      <c r="B72" s="306"/>
      <c r="C72" s="306"/>
      <c r="D72" s="306"/>
      <c r="E72" s="306"/>
      <c r="F72" s="23"/>
      <c r="G72" s="5" t="s">
        <v>464</v>
      </c>
      <c r="H72" s="306"/>
      <c r="I72" s="306"/>
      <c r="J72" s="306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70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I16:I18"/>
    <mergeCell ref="J16:J18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A13:A15"/>
    <mergeCell ref="I13:I15"/>
    <mergeCell ref="J13:J15"/>
    <mergeCell ref="D34:D72"/>
    <mergeCell ref="E34:E72"/>
    <mergeCell ref="B58:B60"/>
    <mergeCell ref="C58:C60"/>
    <mergeCell ref="B61:B63"/>
    <mergeCell ref="C61:C63"/>
    <mergeCell ref="B64:B66"/>
    <mergeCell ref="C64:C66"/>
    <mergeCell ref="B67:B69"/>
    <mergeCell ref="C67:C69"/>
    <mergeCell ref="B70:B72"/>
    <mergeCell ref="C70:C72"/>
    <mergeCell ref="C28:C30"/>
    <mergeCell ref="C31:C33"/>
    <mergeCell ref="D31:D33"/>
    <mergeCell ref="E31:E33"/>
    <mergeCell ref="F59:G59"/>
    <mergeCell ref="F62:G62"/>
    <mergeCell ref="I19:I21"/>
    <mergeCell ref="J19:J21"/>
    <mergeCell ref="F20:G20"/>
    <mergeCell ref="F26:G26"/>
    <mergeCell ref="A34:A72"/>
    <mergeCell ref="B34:B42"/>
    <mergeCell ref="C34:C36"/>
    <mergeCell ref="C22:C24"/>
    <mergeCell ref="D22:D24"/>
    <mergeCell ref="C25:C27"/>
    <mergeCell ref="D25:D27"/>
    <mergeCell ref="E25:E27"/>
    <mergeCell ref="D28:D30"/>
    <mergeCell ref="E28:E30"/>
    <mergeCell ref="C37:C39"/>
    <mergeCell ref="C40:C42"/>
    <mergeCell ref="B43:B45"/>
    <mergeCell ref="C43:C45"/>
    <mergeCell ref="B46:B48"/>
    <mergeCell ref="C46:C48"/>
    <mergeCell ref="B49:B51"/>
    <mergeCell ref="C49:C51"/>
    <mergeCell ref="B52:B54"/>
    <mergeCell ref="C52:C54"/>
    <mergeCell ref="B55:B57"/>
    <mergeCell ref="C55:C57"/>
    <mergeCell ref="B22:B24"/>
    <mergeCell ref="A16:A33"/>
    <mergeCell ref="F29:G29"/>
    <mergeCell ref="B16:B18"/>
    <mergeCell ref="F65:G65"/>
    <mergeCell ref="F68:G68"/>
    <mergeCell ref="F71:G71"/>
    <mergeCell ref="F38:G38"/>
    <mergeCell ref="F41:G41"/>
    <mergeCell ref="F44:G44"/>
    <mergeCell ref="F47:G47"/>
    <mergeCell ref="F50:G50"/>
    <mergeCell ref="F53:G53"/>
    <mergeCell ref="F56:G56"/>
    <mergeCell ref="B25:B27"/>
    <mergeCell ref="B28:B30"/>
    <mergeCell ref="B31:B33"/>
    <mergeCell ref="F32:G32"/>
    <mergeCell ref="F35:G35"/>
    <mergeCell ref="H19:H21"/>
    <mergeCell ref="H22:H24"/>
    <mergeCell ref="H16:H18"/>
    <mergeCell ref="F17:G17"/>
    <mergeCell ref="B19:B21"/>
    <mergeCell ref="C19:C21"/>
    <mergeCell ref="D19:D21"/>
    <mergeCell ref="E19:E21"/>
    <mergeCell ref="H13:H15"/>
    <mergeCell ref="F14:G14"/>
    <mergeCell ref="C16:C18"/>
    <mergeCell ref="D16:D18"/>
    <mergeCell ref="E16:E18"/>
    <mergeCell ref="E22:E24"/>
    <mergeCell ref="F23:G23"/>
    <mergeCell ref="E13:E15"/>
    <mergeCell ref="B13:B15"/>
    <mergeCell ref="C13:C15"/>
    <mergeCell ref="D13:D15"/>
    <mergeCell ref="I55:I57"/>
    <mergeCell ref="J55:J57"/>
    <mergeCell ref="H49:H51"/>
    <mergeCell ref="I49:I51"/>
    <mergeCell ref="J49:J51"/>
    <mergeCell ref="H52:H54"/>
    <mergeCell ref="I52:I54"/>
    <mergeCell ref="J52:J54"/>
    <mergeCell ref="H55:H57"/>
    <mergeCell ref="I46:I48"/>
    <mergeCell ref="J46:J48"/>
    <mergeCell ref="H40:H42"/>
    <mergeCell ref="I40:I42"/>
    <mergeCell ref="J40:J42"/>
    <mergeCell ref="H43:H45"/>
    <mergeCell ref="I43:I45"/>
    <mergeCell ref="J43:J45"/>
    <mergeCell ref="H46:H48"/>
    <mergeCell ref="H70:H72"/>
    <mergeCell ref="I70:I72"/>
    <mergeCell ref="J70:J72"/>
    <mergeCell ref="H58:H60"/>
    <mergeCell ref="I58:I60"/>
    <mergeCell ref="J58:J60"/>
    <mergeCell ref="H61:H63"/>
    <mergeCell ref="I61:I63"/>
    <mergeCell ref="J61:J63"/>
    <mergeCell ref="H64:H66"/>
    <mergeCell ref="I64:I66"/>
    <mergeCell ref="J64:J66"/>
    <mergeCell ref="H67:H69"/>
    <mergeCell ref="I67:I69"/>
    <mergeCell ref="J67:J69"/>
    <mergeCell ref="I22:I24"/>
    <mergeCell ref="J22:J24"/>
    <mergeCell ref="H25:H27"/>
    <mergeCell ref="I25:I27"/>
    <mergeCell ref="J25:J27"/>
    <mergeCell ref="I37:I39"/>
    <mergeCell ref="J37:J39"/>
    <mergeCell ref="H28:H30"/>
    <mergeCell ref="I28:I30"/>
    <mergeCell ref="J28:J30"/>
    <mergeCell ref="H34:H36"/>
    <mergeCell ref="I34:I36"/>
    <mergeCell ref="J34:J36"/>
    <mergeCell ref="H37:H39"/>
    <mergeCell ref="I31:I33"/>
    <mergeCell ref="J31:J33"/>
    <mergeCell ref="H31:H33"/>
  </mergeCells>
  <conditionalFormatting sqref="F12">
    <cfRule type="cellIs" dxfId="268" priority="1" operator="lessThan">
      <formula>$F$16</formula>
    </cfRule>
    <cfRule type="cellIs" dxfId="267" priority="2" operator="greaterThanOrEqual">
      <formula>$F$16</formula>
    </cfRule>
  </conditionalFormatting>
  <conditionalFormatting sqref="F15">
    <cfRule type="cellIs" dxfId="266" priority="3" operator="lessThan">
      <formula>$F$19</formula>
    </cfRule>
    <cfRule type="cellIs" dxfId="265" priority="4" operator="greaterThanOrEqual">
      <formula>$F$19</formula>
    </cfRule>
  </conditionalFormatting>
  <conditionalFormatting sqref="F18">
    <cfRule type="cellIs" dxfId="264" priority="5" operator="lessThan">
      <formula>$F$19</formula>
    </cfRule>
    <cfRule type="cellIs" dxfId="263" priority="6" operator="greaterThanOrEqual">
      <formula>$F$19</formula>
    </cfRule>
  </conditionalFormatting>
  <conditionalFormatting sqref="F21">
    <cfRule type="cellIs" dxfId="262" priority="7" operator="lessThan">
      <formula>$F$19</formula>
    </cfRule>
    <cfRule type="cellIs" dxfId="261" priority="8" operator="greaterThanOrEqual">
      <formula>$F$19</formula>
    </cfRule>
  </conditionalFormatting>
  <conditionalFormatting sqref="F24">
    <cfRule type="cellIs" dxfId="260" priority="9" operator="lessThan">
      <formula>$F$19</formula>
    </cfRule>
    <cfRule type="cellIs" dxfId="259" priority="10" operator="greaterThanOrEqual">
      <formula>$F$19</formula>
    </cfRule>
  </conditionalFormatting>
  <conditionalFormatting sqref="F27">
    <cfRule type="cellIs" dxfId="258" priority="11" operator="lessThan">
      <formula>$F$19</formula>
    </cfRule>
    <cfRule type="cellIs" dxfId="257" priority="12" operator="greaterThanOrEqual">
      <formula>$F$19</formula>
    </cfRule>
  </conditionalFormatting>
  <conditionalFormatting sqref="F30">
    <cfRule type="cellIs" dxfId="256" priority="13" operator="lessThan">
      <formula>$F$19</formula>
    </cfRule>
    <cfRule type="cellIs" dxfId="255" priority="14" operator="greaterThanOrEqual">
      <formula>$F$19</formula>
    </cfRule>
  </conditionalFormatting>
  <conditionalFormatting sqref="F33">
    <cfRule type="cellIs" dxfId="254" priority="15" operator="lessThan">
      <formula>$F$19</formula>
    </cfRule>
    <cfRule type="cellIs" dxfId="253" priority="16" operator="greaterThanOrEqual">
      <formula>$F$19</formula>
    </cfRule>
  </conditionalFormatting>
  <conditionalFormatting sqref="F36">
    <cfRule type="cellIs" dxfId="252" priority="17" operator="lessThan">
      <formula>$F$19</formula>
    </cfRule>
    <cfRule type="cellIs" dxfId="251" priority="18" operator="greaterThanOrEqual">
      <formula>$F$19</formula>
    </cfRule>
  </conditionalFormatting>
  <conditionalFormatting sqref="F39">
    <cfRule type="cellIs" dxfId="250" priority="19" operator="lessThan">
      <formula>$F$19</formula>
    </cfRule>
    <cfRule type="cellIs" dxfId="249" priority="20" operator="greaterThanOrEqual">
      <formula>$F$19</formula>
    </cfRule>
  </conditionalFormatting>
  <conditionalFormatting sqref="F42">
    <cfRule type="cellIs" dxfId="248" priority="21" operator="lessThan">
      <formula>$F$19</formula>
    </cfRule>
    <cfRule type="cellIs" dxfId="247" priority="22" operator="greaterThanOrEqual">
      <formula>$F$19</formula>
    </cfRule>
  </conditionalFormatting>
  <conditionalFormatting sqref="F45">
    <cfRule type="cellIs" dxfId="246" priority="23" operator="lessThan">
      <formula>$F$19</formula>
    </cfRule>
    <cfRule type="cellIs" dxfId="245" priority="24" operator="greaterThanOrEqual">
      <formula>$F$19</formula>
    </cfRule>
  </conditionalFormatting>
  <conditionalFormatting sqref="F48">
    <cfRule type="cellIs" dxfId="244" priority="25" operator="lessThan">
      <formula>$F$19</formula>
    </cfRule>
    <cfRule type="cellIs" dxfId="243" priority="26" operator="greaterThanOrEqual">
      <formula>$F$19</formula>
    </cfRule>
  </conditionalFormatting>
  <conditionalFormatting sqref="F51">
    <cfRule type="cellIs" dxfId="242" priority="27" operator="lessThan">
      <formula>$F$19</formula>
    </cfRule>
    <cfRule type="cellIs" dxfId="241" priority="28" operator="greaterThanOrEqual">
      <formula>$F$19</formula>
    </cfRule>
  </conditionalFormatting>
  <conditionalFormatting sqref="F54">
    <cfRule type="cellIs" dxfId="240" priority="29" operator="lessThan">
      <formula>$F$19</formula>
    </cfRule>
    <cfRule type="cellIs" dxfId="239" priority="30" operator="greaterThanOrEqual">
      <formula>$F$19</formula>
    </cfRule>
  </conditionalFormatting>
  <conditionalFormatting sqref="F57">
    <cfRule type="cellIs" dxfId="238" priority="31" operator="lessThan">
      <formula>$F$19</formula>
    </cfRule>
    <cfRule type="cellIs" dxfId="237" priority="32" operator="greaterThanOrEqual">
      <formula>$F$19</formula>
    </cfRule>
  </conditionalFormatting>
  <conditionalFormatting sqref="F60">
    <cfRule type="cellIs" dxfId="236" priority="33" operator="lessThan">
      <formula>$F$19</formula>
    </cfRule>
    <cfRule type="cellIs" dxfId="235" priority="34" operator="greaterThanOrEqual">
      <formula>$F$19</formula>
    </cfRule>
  </conditionalFormatting>
  <conditionalFormatting sqref="F63">
    <cfRule type="cellIs" dxfId="234" priority="35" operator="lessThan">
      <formula>$F$19</formula>
    </cfRule>
    <cfRule type="cellIs" dxfId="233" priority="36" operator="greaterThanOrEqual">
      <formula>$F$19</formula>
    </cfRule>
  </conditionalFormatting>
  <conditionalFormatting sqref="F66">
    <cfRule type="cellIs" dxfId="232" priority="37" operator="lessThan">
      <formula>$F$19</formula>
    </cfRule>
    <cfRule type="cellIs" dxfId="231" priority="38" operator="greaterThanOrEqual">
      <formula>$F$19</formula>
    </cfRule>
  </conditionalFormatting>
  <conditionalFormatting sqref="F69">
    <cfRule type="cellIs" dxfId="230" priority="39" operator="lessThan">
      <formula>$F$19</formula>
    </cfRule>
    <cfRule type="cellIs" dxfId="229" priority="40" operator="greaterThanOrEqual">
      <formula>$F$19</formula>
    </cfRule>
  </conditionalFormatting>
  <conditionalFormatting sqref="F72">
    <cfRule type="cellIs" dxfId="228" priority="41" operator="lessThan">
      <formula>$F$19</formula>
    </cfRule>
    <cfRule type="cellIs" dxfId="227" priority="42" operator="greaterThanOrEqual">
      <formula>$F$19</formula>
    </cfRule>
  </conditionalFormatting>
  <conditionalFormatting sqref="J4">
    <cfRule type="cellIs" dxfId="226" priority="43" operator="lessThan">
      <formula>$H$4</formula>
    </cfRule>
    <cfRule type="cellIs" dxfId="225" priority="44" operator="greaterThan">
      <formula>$H$4</formula>
    </cfRule>
  </conditionalFormatting>
  <pageMargins left="0.7" right="0.7" top="0.75" bottom="0.75" header="0" footer="0"/>
  <pageSetup scale="25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tabColor rgb="FF385623"/>
    <pageSetUpPr fitToPage="1"/>
  </sheetPr>
  <dimension ref="A1:Z1000"/>
  <sheetViews>
    <sheetView workbookViewId="0"/>
  </sheetViews>
  <sheetFormatPr baseColWidth="10" defaultColWidth="11.125" defaultRowHeight="15" customHeight="1"/>
  <cols>
    <col min="1" max="1" width="31.625" customWidth="1"/>
    <col min="2" max="2" width="35.125" customWidth="1"/>
    <col min="3" max="3" width="39.375" customWidth="1"/>
    <col min="4" max="4" width="31.5" customWidth="1"/>
    <col min="5" max="5" width="27.625" customWidth="1"/>
    <col min="6" max="6" width="21.125" customWidth="1"/>
    <col min="7" max="7" width="32.625" customWidth="1"/>
    <col min="8" max="8" width="26.5" customWidth="1"/>
    <col min="9" max="9" width="26.625" customWidth="1"/>
    <col min="10" max="10" width="38.875" customWidth="1"/>
    <col min="11" max="26" width="10.5" customWidth="1"/>
  </cols>
  <sheetData>
    <row r="1" spans="1:26" ht="72.75" customHeight="1">
      <c r="A1" s="347"/>
      <c r="B1" s="348"/>
      <c r="C1" s="347" t="s">
        <v>465</v>
      </c>
      <c r="D1" s="350"/>
      <c r="E1" s="350"/>
      <c r="F1" s="350"/>
      <c r="G1" s="336"/>
      <c r="H1" s="8" t="s">
        <v>167</v>
      </c>
      <c r="I1" s="352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20" customHeight="1">
      <c r="A2" s="337"/>
      <c r="B2" s="349"/>
      <c r="C2" s="337"/>
      <c r="D2" s="351"/>
      <c r="E2" s="351"/>
      <c r="F2" s="351"/>
      <c r="G2" s="338"/>
      <c r="H2" s="8" t="s">
        <v>169</v>
      </c>
      <c r="I2" s="353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54" t="s">
        <v>4</v>
      </c>
      <c r="B3" s="321"/>
      <c r="C3" s="321"/>
      <c r="D3" s="321"/>
      <c r="E3" s="321"/>
      <c r="F3" s="309"/>
      <c r="G3" s="31"/>
      <c r="H3" s="355">
        <v>701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>
      <c r="A4" s="26" t="s">
        <v>170</v>
      </c>
      <c r="B4" s="341" t="s">
        <v>466</v>
      </c>
      <c r="C4" s="342"/>
      <c r="D4" s="27" t="s">
        <v>8</v>
      </c>
      <c r="E4" s="12">
        <v>2024</v>
      </c>
      <c r="F4" s="346" t="s">
        <v>172</v>
      </c>
      <c r="G4" s="340"/>
      <c r="H4" s="13">
        <v>32100000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366" t="s">
        <v>467</v>
      </c>
      <c r="D5" s="321"/>
      <c r="E5" s="322"/>
      <c r="F5" s="330" t="s">
        <v>175</v>
      </c>
      <c r="G5" s="322"/>
      <c r="H5" s="320" t="s">
        <v>468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1" t="s">
        <v>18</v>
      </c>
      <c r="B6" s="16" t="s">
        <v>19</v>
      </c>
      <c r="C6" s="17" t="s">
        <v>469</v>
      </c>
      <c r="D6" s="3" t="s">
        <v>21</v>
      </c>
      <c r="E6" s="17" t="s">
        <v>470</v>
      </c>
      <c r="F6" s="323" t="s">
        <v>14</v>
      </c>
      <c r="G6" s="322"/>
      <c r="H6" s="17" t="s">
        <v>471</v>
      </c>
      <c r="I6" s="3" t="s">
        <v>16</v>
      </c>
      <c r="J6" s="17" t="s">
        <v>472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8.75" customHeight="1">
      <c r="A7" s="324" t="s">
        <v>23</v>
      </c>
      <c r="B7" s="325"/>
      <c r="C7" s="326" t="s">
        <v>473</v>
      </c>
      <c r="D7" s="321"/>
      <c r="E7" s="322"/>
      <c r="F7" s="359" t="s">
        <v>24</v>
      </c>
      <c r="G7" s="360"/>
      <c r="H7" s="344"/>
      <c r="I7" s="326" t="s">
        <v>226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>
      <c r="A10" s="315" t="s">
        <v>36</v>
      </c>
      <c r="B10" s="304" t="s">
        <v>474</v>
      </c>
      <c r="C10" s="317" t="s">
        <v>113</v>
      </c>
      <c r="D10" s="307" t="s">
        <v>114</v>
      </c>
      <c r="E10" s="307" t="s">
        <v>40</v>
      </c>
      <c r="F10" s="4">
        <v>68.39</v>
      </c>
      <c r="G10" s="5" t="s">
        <v>357</v>
      </c>
      <c r="H10" s="304" t="s">
        <v>358</v>
      </c>
      <c r="I10" s="304" t="s">
        <v>359</v>
      </c>
      <c r="J10" s="304" t="s">
        <v>360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36" customHeight="1">
      <c r="A11" s="305"/>
      <c r="B11" s="305"/>
      <c r="C11" s="318"/>
      <c r="D11" s="305"/>
      <c r="E11" s="305"/>
      <c r="F11" s="37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19"/>
      <c r="D12" s="306"/>
      <c r="E12" s="306"/>
      <c r="F12" s="21"/>
      <c r="G12" s="5" t="s">
        <v>361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316" t="s">
        <v>47</v>
      </c>
      <c r="B13" s="314" t="s">
        <v>475</v>
      </c>
      <c r="C13" s="317" t="s">
        <v>476</v>
      </c>
      <c r="D13" s="307" t="s">
        <v>477</v>
      </c>
      <c r="E13" s="307" t="s">
        <v>40</v>
      </c>
      <c r="F13" s="4">
        <v>90</v>
      </c>
      <c r="G13" s="5" t="s">
        <v>478</v>
      </c>
      <c r="H13" s="304" t="s">
        <v>479</v>
      </c>
      <c r="I13" s="304" t="s">
        <v>480</v>
      </c>
      <c r="J13" s="304" t="s">
        <v>481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>
      <c r="A14" s="305"/>
      <c r="B14" s="305"/>
      <c r="C14" s="318"/>
      <c r="D14" s="305"/>
      <c r="E14" s="305"/>
      <c r="F14" s="37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A15" s="306"/>
      <c r="B15" s="306"/>
      <c r="C15" s="319"/>
      <c r="D15" s="306"/>
      <c r="E15" s="306"/>
      <c r="F15" s="21"/>
      <c r="G15" s="29" t="s">
        <v>482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>
      <c r="A16" s="310" t="s">
        <v>56</v>
      </c>
      <c r="B16" s="304" t="s">
        <v>483</v>
      </c>
      <c r="C16" s="307" t="s">
        <v>484</v>
      </c>
      <c r="D16" s="307" t="s">
        <v>477</v>
      </c>
      <c r="E16" s="307" t="s">
        <v>40</v>
      </c>
      <c r="F16" s="4">
        <v>90</v>
      </c>
      <c r="G16" s="5" t="s">
        <v>485</v>
      </c>
      <c r="H16" s="304" t="s">
        <v>486</v>
      </c>
      <c r="I16" s="304" t="s">
        <v>487</v>
      </c>
      <c r="J16" s="304" t="s">
        <v>488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>
      <c r="A17" s="311"/>
      <c r="B17" s="305"/>
      <c r="C17" s="305"/>
      <c r="D17" s="305"/>
      <c r="E17" s="305"/>
      <c r="F17" s="376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57.75" customHeight="1">
      <c r="A18" s="311"/>
      <c r="B18" s="306"/>
      <c r="C18" s="306"/>
      <c r="D18" s="306"/>
      <c r="E18" s="306"/>
      <c r="F18" s="21"/>
      <c r="G18" s="29" t="s">
        <v>489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43.5" customHeight="1">
      <c r="A19" s="311"/>
      <c r="B19" s="304" t="s">
        <v>490</v>
      </c>
      <c r="C19" s="307" t="s">
        <v>491</v>
      </c>
      <c r="D19" s="307" t="s">
        <v>492</v>
      </c>
      <c r="E19" s="307" t="s">
        <v>40</v>
      </c>
      <c r="F19" s="22"/>
      <c r="G19" s="29" t="s">
        <v>493</v>
      </c>
      <c r="H19" s="304" t="s">
        <v>494</v>
      </c>
      <c r="I19" s="304" t="s">
        <v>495</v>
      </c>
      <c r="J19" s="304" t="s">
        <v>496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311"/>
      <c r="B20" s="305"/>
      <c r="C20" s="305"/>
      <c r="D20" s="305"/>
      <c r="E20" s="305"/>
      <c r="F20" s="376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311"/>
      <c r="B21" s="306"/>
      <c r="C21" s="306"/>
      <c r="D21" s="306"/>
      <c r="E21" s="306"/>
      <c r="F21" s="21"/>
      <c r="G21" s="29" t="s">
        <v>497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311"/>
      <c r="B22" s="304" t="s">
        <v>498</v>
      </c>
      <c r="C22" s="304" t="s">
        <v>499</v>
      </c>
      <c r="D22" s="304" t="s">
        <v>492</v>
      </c>
      <c r="E22" s="304" t="s">
        <v>40</v>
      </c>
      <c r="F22" s="22"/>
      <c r="G22" s="5" t="s">
        <v>500</v>
      </c>
      <c r="H22" s="304" t="s">
        <v>501</v>
      </c>
      <c r="I22" s="304" t="s">
        <v>208</v>
      </c>
      <c r="J22" s="304" t="s">
        <v>502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311"/>
      <c r="B23" s="305"/>
      <c r="C23" s="305"/>
      <c r="D23" s="305"/>
      <c r="E23" s="305"/>
      <c r="F23" s="376" t="s">
        <v>45</v>
      </c>
      <c r="G23" s="30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81" customHeight="1">
      <c r="A24" s="311"/>
      <c r="B24" s="306"/>
      <c r="C24" s="306"/>
      <c r="D24" s="306"/>
      <c r="E24" s="306"/>
      <c r="F24" s="21"/>
      <c r="G24" s="5" t="s">
        <v>503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311"/>
      <c r="B25" s="304" t="s">
        <v>504</v>
      </c>
      <c r="C25" s="304" t="s">
        <v>505</v>
      </c>
      <c r="D25" s="304" t="s">
        <v>492</v>
      </c>
      <c r="E25" s="304" t="s">
        <v>40</v>
      </c>
      <c r="F25" s="22"/>
      <c r="G25" s="29" t="s">
        <v>506</v>
      </c>
      <c r="H25" s="304" t="s">
        <v>507</v>
      </c>
      <c r="I25" s="304" t="s">
        <v>508</v>
      </c>
      <c r="J25" s="304" t="s">
        <v>509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311"/>
      <c r="B26" s="305"/>
      <c r="C26" s="305"/>
      <c r="D26" s="305"/>
      <c r="E26" s="305"/>
      <c r="F26" s="37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84" customHeight="1">
      <c r="A27" s="311"/>
      <c r="B27" s="306"/>
      <c r="C27" s="306"/>
      <c r="D27" s="306"/>
      <c r="E27" s="306"/>
      <c r="F27" s="21"/>
      <c r="G27" s="29" t="s">
        <v>510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6.5" customHeight="1">
      <c r="A28" s="311"/>
      <c r="B28" s="304" t="s">
        <v>511</v>
      </c>
      <c r="C28" s="307" t="s">
        <v>512</v>
      </c>
      <c r="D28" s="307" t="s">
        <v>201</v>
      </c>
      <c r="E28" s="307" t="s">
        <v>40</v>
      </c>
      <c r="F28" s="22"/>
      <c r="G28" s="5" t="s">
        <v>513</v>
      </c>
      <c r="H28" s="304" t="s">
        <v>514</v>
      </c>
      <c r="I28" s="304" t="s">
        <v>515</v>
      </c>
      <c r="J28" s="304" t="s">
        <v>516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43.5" customHeight="1">
      <c r="A29" s="311"/>
      <c r="B29" s="305"/>
      <c r="C29" s="305"/>
      <c r="D29" s="305"/>
      <c r="E29" s="305"/>
      <c r="F29" s="37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48.75" customHeight="1">
      <c r="A30" s="311"/>
      <c r="B30" s="306"/>
      <c r="C30" s="306"/>
      <c r="D30" s="306"/>
      <c r="E30" s="306"/>
      <c r="F30" s="21"/>
      <c r="G30" s="5" t="s">
        <v>517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40.5" customHeight="1">
      <c r="A31" s="311"/>
      <c r="B31" s="304" t="s">
        <v>518</v>
      </c>
      <c r="C31" s="307" t="s">
        <v>519</v>
      </c>
      <c r="D31" s="307" t="s">
        <v>492</v>
      </c>
      <c r="E31" s="307" t="s">
        <v>40</v>
      </c>
      <c r="F31" s="22"/>
      <c r="G31" s="29" t="s">
        <v>520</v>
      </c>
      <c r="H31" s="304" t="s">
        <v>521</v>
      </c>
      <c r="I31" s="304" t="s">
        <v>492</v>
      </c>
      <c r="J31" s="304" t="s">
        <v>522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311"/>
      <c r="B32" s="305"/>
      <c r="C32" s="305"/>
      <c r="D32" s="305"/>
      <c r="E32" s="305"/>
      <c r="F32" s="376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67.5" customHeight="1">
      <c r="A33" s="312"/>
      <c r="B33" s="306"/>
      <c r="C33" s="306"/>
      <c r="D33" s="306"/>
      <c r="E33" s="306"/>
      <c r="F33" s="21"/>
      <c r="G33" s="29" t="s">
        <v>523</v>
      </c>
      <c r="H33" s="306"/>
      <c r="I33" s="306"/>
      <c r="J33" s="30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315" t="s">
        <v>80</v>
      </c>
      <c r="B34" s="304" t="s">
        <v>524</v>
      </c>
      <c r="C34" s="307" t="s">
        <v>525</v>
      </c>
      <c r="D34" s="307" t="s">
        <v>208</v>
      </c>
      <c r="E34" s="307" t="s">
        <v>40</v>
      </c>
      <c r="F34" s="22"/>
      <c r="G34" s="5" t="s">
        <v>526</v>
      </c>
      <c r="H34" s="304" t="s">
        <v>527</v>
      </c>
      <c r="I34" s="304" t="s">
        <v>208</v>
      </c>
      <c r="J34" s="304" t="s">
        <v>528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305"/>
      <c r="B35" s="305"/>
      <c r="C35" s="305"/>
      <c r="D35" s="305"/>
      <c r="E35" s="305"/>
      <c r="F35" s="375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5" customHeight="1">
      <c r="A36" s="305"/>
      <c r="B36" s="357"/>
      <c r="C36" s="357"/>
      <c r="D36" s="305"/>
      <c r="E36" s="305"/>
      <c r="F36" s="9"/>
      <c r="G36" s="5" t="s">
        <v>529</v>
      </c>
      <c r="H36" s="306"/>
      <c r="I36" s="306"/>
      <c r="J36" s="306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305"/>
      <c r="B37" s="304" t="s">
        <v>530</v>
      </c>
      <c r="C37" s="304" t="s">
        <v>531</v>
      </c>
      <c r="D37" s="305"/>
      <c r="E37" s="305"/>
      <c r="F37" s="22"/>
      <c r="G37" s="5" t="s">
        <v>532</v>
      </c>
      <c r="H37" s="304" t="s">
        <v>533</v>
      </c>
      <c r="I37" s="304" t="s">
        <v>208</v>
      </c>
      <c r="J37" s="304" t="s">
        <v>534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305"/>
      <c r="B38" s="305"/>
      <c r="C38" s="305"/>
      <c r="D38" s="305"/>
      <c r="E38" s="305"/>
      <c r="F38" s="375" t="s">
        <v>45</v>
      </c>
      <c r="G38" s="309"/>
      <c r="H38" s="305"/>
      <c r="I38" s="305"/>
      <c r="J38" s="30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40.5" customHeight="1">
      <c r="A39" s="305"/>
      <c r="B39" s="306"/>
      <c r="C39" s="306"/>
      <c r="D39" s="305"/>
      <c r="E39" s="305"/>
      <c r="F39" s="23"/>
      <c r="G39" s="5" t="s">
        <v>535</v>
      </c>
      <c r="H39" s="306"/>
      <c r="I39" s="306"/>
      <c r="J39" s="306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305"/>
      <c r="B40" s="304" t="s">
        <v>536</v>
      </c>
      <c r="C40" s="304" t="s">
        <v>537</v>
      </c>
      <c r="D40" s="305"/>
      <c r="E40" s="305"/>
      <c r="F40" s="22"/>
      <c r="G40" s="5" t="s">
        <v>538</v>
      </c>
      <c r="H40" s="304" t="s">
        <v>539</v>
      </c>
      <c r="I40" s="304" t="s">
        <v>208</v>
      </c>
      <c r="J40" s="304" t="s">
        <v>540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305"/>
      <c r="B41" s="305"/>
      <c r="C41" s="305"/>
      <c r="D41" s="305"/>
      <c r="E41" s="305"/>
      <c r="F41" s="375" t="s">
        <v>45</v>
      </c>
      <c r="G41" s="309"/>
      <c r="H41" s="305"/>
      <c r="I41" s="305"/>
      <c r="J41" s="30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81.75" customHeight="1">
      <c r="A42" s="305"/>
      <c r="B42" s="306"/>
      <c r="C42" s="306"/>
      <c r="D42" s="305"/>
      <c r="E42" s="305"/>
      <c r="F42" s="23"/>
      <c r="G42" s="5" t="s">
        <v>541</v>
      </c>
      <c r="H42" s="306"/>
      <c r="I42" s="306"/>
      <c r="J42" s="306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305"/>
      <c r="B43" s="304" t="s">
        <v>542</v>
      </c>
      <c r="C43" s="304" t="s">
        <v>543</v>
      </c>
      <c r="D43" s="305"/>
      <c r="E43" s="305"/>
      <c r="F43" s="22"/>
      <c r="G43" s="5" t="s">
        <v>538</v>
      </c>
      <c r="H43" s="304" t="s">
        <v>544</v>
      </c>
      <c r="I43" s="304" t="s">
        <v>395</v>
      </c>
      <c r="J43" s="304" t="s">
        <v>545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305"/>
      <c r="B44" s="305"/>
      <c r="C44" s="305"/>
      <c r="D44" s="305"/>
      <c r="E44" s="305"/>
      <c r="F44" s="375" t="s">
        <v>45</v>
      </c>
      <c r="G44" s="309"/>
      <c r="H44" s="305"/>
      <c r="I44" s="305"/>
      <c r="J44" s="30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305"/>
      <c r="B45" s="306"/>
      <c r="C45" s="306"/>
      <c r="D45" s="305"/>
      <c r="E45" s="305"/>
      <c r="F45" s="23"/>
      <c r="G45" s="5" t="s">
        <v>541</v>
      </c>
      <c r="H45" s="306"/>
      <c r="I45" s="306"/>
      <c r="J45" s="306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305"/>
      <c r="B46" s="304" t="s">
        <v>546</v>
      </c>
      <c r="C46" s="307" t="s">
        <v>547</v>
      </c>
      <c r="D46" s="305"/>
      <c r="E46" s="305"/>
      <c r="F46" s="22"/>
      <c r="G46" s="5" t="s">
        <v>548</v>
      </c>
      <c r="H46" s="304" t="s">
        <v>549</v>
      </c>
      <c r="I46" s="304" t="s">
        <v>208</v>
      </c>
      <c r="J46" s="304" t="s">
        <v>550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305"/>
      <c r="B47" s="305"/>
      <c r="C47" s="305"/>
      <c r="D47" s="305"/>
      <c r="E47" s="305"/>
      <c r="F47" s="375" t="s">
        <v>45</v>
      </c>
      <c r="G47" s="309"/>
      <c r="H47" s="305"/>
      <c r="I47" s="305"/>
      <c r="J47" s="30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305"/>
      <c r="B48" s="306"/>
      <c r="C48" s="306"/>
      <c r="D48" s="305"/>
      <c r="E48" s="305"/>
      <c r="F48" s="23"/>
      <c r="G48" s="5" t="s">
        <v>551</v>
      </c>
      <c r="H48" s="306"/>
      <c r="I48" s="306"/>
      <c r="J48" s="306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305"/>
      <c r="B49" s="304" t="s">
        <v>552</v>
      </c>
      <c r="C49" s="304" t="s">
        <v>553</v>
      </c>
      <c r="D49" s="305"/>
      <c r="E49" s="305"/>
      <c r="F49" s="22"/>
      <c r="G49" s="5" t="s">
        <v>554</v>
      </c>
      <c r="H49" s="304" t="s">
        <v>555</v>
      </c>
      <c r="I49" s="304" t="s">
        <v>556</v>
      </c>
      <c r="J49" s="304" t="s">
        <v>557</v>
      </c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305"/>
      <c r="B50" s="305"/>
      <c r="C50" s="305"/>
      <c r="D50" s="305"/>
      <c r="E50" s="305"/>
      <c r="F50" s="375" t="s">
        <v>45</v>
      </c>
      <c r="G50" s="309"/>
      <c r="H50" s="305"/>
      <c r="I50" s="305"/>
      <c r="J50" s="30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305"/>
      <c r="B51" s="306"/>
      <c r="C51" s="306"/>
      <c r="D51" s="305"/>
      <c r="E51" s="305"/>
      <c r="F51" s="23"/>
      <c r="G51" s="5" t="s">
        <v>558</v>
      </c>
      <c r="H51" s="306"/>
      <c r="I51" s="306"/>
      <c r="J51" s="306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0.5" customHeight="1">
      <c r="A52" s="305"/>
      <c r="B52" s="304" t="s">
        <v>559</v>
      </c>
      <c r="C52" s="304" t="s">
        <v>560</v>
      </c>
      <c r="D52" s="305"/>
      <c r="E52" s="305"/>
      <c r="F52" s="22"/>
      <c r="G52" s="5" t="s">
        <v>561</v>
      </c>
      <c r="H52" s="304" t="s">
        <v>562</v>
      </c>
      <c r="I52" s="304" t="s">
        <v>208</v>
      </c>
      <c r="J52" s="304" t="s">
        <v>502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33.75" customHeight="1">
      <c r="A53" s="305"/>
      <c r="B53" s="305"/>
      <c r="C53" s="305"/>
      <c r="D53" s="305"/>
      <c r="E53" s="305"/>
      <c r="F53" s="375" t="s">
        <v>45</v>
      </c>
      <c r="G53" s="309"/>
      <c r="H53" s="305"/>
      <c r="I53" s="305"/>
      <c r="J53" s="30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305"/>
      <c r="B54" s="306"/>
      <c r="C54" s="306"/>
      <c r="D54" s="305"/>
      <c r="E54" s="305"/>
      <c r="F54" s="23"/>
      <c r="G54" s="5" t="s">
        <v>563</v>
      </c>
      <c r="H54" s="306"/>
      <c r="I54" s="306"/>
      <c r="J54" s="306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305"/>
      <c r="B55" s="304" t="s">
        <v>564</v>
      </c>
      <c r="C55" s="304" t="s">
        <v>565</v>
      </c>
      <c r="D55" s="305"/>
      <c r="E55" s="305"/>
      <c r="F55" s="22"/>
      <c r="G55" s="5" t="s">
        <v>566</v>
      </c>
      <c r="H55" s="304" t="s">
        <v>567</v>
      </c>
      <c r="I55" s="304" t="s">
        <v>208</v>
      </c>
      <c r="J55" s="304" t="s">
        <v>502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305"/>
      <c r="B56" s="305"/>
      <c r="C56" s="305"/>
      <c r="D56" s="305"/>
      <c r="E56" s="305"/>
      <c r="F56" s="375" t="s">
        <v>45</v>
      </c>
      <c r="G56" s="309"/>
      <c r="H56" s="305"/>
      <c r="I56" s="305"/>
      <c r="J56" s="30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305"/>
      <c r="B57" s="306"/>
      <c r="C57" s="306"/>
      <c r="D57" s="305"/>
      <c r="E57" s="305"/>
      <c r="F57" s="23"/>
      <c r="G57" s="5" t="s">
        <v>568</v>
      </c>
      <c r="H57" s="306"/>
      <c r="I57" s="306"/>
      <c r="J57" s="306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305"/>
      <c r="B58" s="304" t="s">
        <v>569</v>
      </c>
      <c r="C58" s="307" t="s">
        <v>570</v>
      </c>
      <c r="D58" s="305"/>
      <c r="E58" s="305"/>
      <c r="F58" s="22"/>
      <c r="G58" s="5" t="s">
        <v>571</v>
      </c>
      <c r="H58" s="304" t="s">
        <v>572</v>
      </c>
      <c r="I58" s="304" t="s">
        <v>208</v>
      </c>
      <c r="J58" s="304" t="s">
        <v>502</v>
      </c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6.5" customHeight="1">
      <c r="A59" s="305"/>
      <c r="B59" s="305"/>
      <c r="C59" s="305"/>
      <c r="D59" s="305"/>
      <c r="E59" s="305"/>
      <c r="F59" s="375" t="s">
        <v>45</v>
      </c>
      <c r="G59" s="309"/>
      <c r="H59" s="305"/>
      <c r="I59" s="305"/>
      <c r="J59" s="30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357"/>
      <c r="B60" s="306"/>
      <c r="C60" s="306"/>
      <c r="D60" s="306"/>
      <c r="E60" s="357"/>
      <c r="F60" s="23"/>
      <c r="G60" s="5" t="s">
        <v>573</v>
      </c>
      <c r="H60" s="306"/>
      <c r="I60" s="306"/>
      <c r="J60" s="306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48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I16:I18"/>
    <mergeCell ref="J16:J18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A13:A15"/>
    <mergeCell ref="I13:I15"/>
    <mergeCell ref="J13:J15"/>
    <mergeCell ref="H19:H21"/>
    <mergeCell ref="H22:H24"/>
    <mergeCell ref="I22:I24"/>
    <mergeCell ref="J22:J24"/>
    <mergeCell ref="H16:H18"/>
    <mergeCell ref="F17:G17"/>
    <mergeCell ref="B19:B21"/>
    <mergeCell ref="C19:C21"/>
    <mergeCell ref="D19:D21"/>
    <mergeCell ref="E19:E21"/>
    <mergeCell ref="I19:I21"/>
    <mergeCell ref="J19:J21"/>
    <mergeCell ref="F20:G20"/>
    <mergeCell ref="B16:B18"/>
    <mergeCell ref="B22:B24"/>
    <mergeCell ref="I25:I27"/>
    <mergeCell ref="J25:J27"/>
    <mergeCell ref="I37:I39"/>
    <mergeCell ref="J37:J39"/>
    <mergeCell ref="H28:H30"/>
    <mergeCell ref="I28:I30"/>
    <mergeCell ref="J28:J30"/>
    <mergeCell ref="H34:H36"/>
    <mergeCell ref="I34:I36"/>
    <mergeCell ref="J34:J36"/>
    <mergeCell ref="H37:H39"/>
    <mergeCell ref="I31:I33"/>
    <mergeCell ref="J31:J33"/>
    <mergeCell ref="I46:I48"/>
    <mergeCell ref="J46:J48"/>
    <mergeCell ref="H40:H42"/>
    <mergeCell ref="I40:I42"/>
    <mergeCell ref="J40:J42"/>
    <mergeCell ref="H43:H45"/>
    <mergeCell ref="I43:I45"/>
    <mergeCell ref="J43:J45"/>
    <mergeCell ref="H46:H48"/>
    <mergeCell ref="I55:I57"/>
    <mergeCell ref="J55:J57"/>
    <mergeCell ref="H58:H60"/>
    <mergeCell ref="I58:I60"/>
    <mergeCell ref="J58:J60"/>
    <mergeCell ref="H49:H51"/>
    <mergeCell ref="I49:I51"/>
    <mergeCell ref="J49:J51"/>
    <mergeCell ref="H52:H54"/>
    <mergeCell ref="I52:I54"/>
    <mergeCell ref="J52:J54"/>
    <mergeCell ref="H55:H57"/>
    <mergeCell ref="F26:G26"/>
    <mergeCell ref="F29:G29"/>
    <mergeCell ref="F32:G32"/>
    <mergeCell ref="F35:G35"/>
    <mergeCell ref="A16:A33"/>
    <mergeCell ref="B25:B27"/>
    <mergeCell ref="B28:B30"/>
    <mergeCell ref="B31:B33"/>
    <mergeCell ref="H13:H15"/>
    <mergeCell ref="F14:G14"/>
    <mergeCell ref="C16:C18"/>
    <mergeCell ref="D16:D18"/>
    <mergeCell ref="E16:E18"/>
    <mergeCell ref="E22:E24"/>
    <mergeCell ref="F23:G23"/>
    <mergeCell ref="H31:H33"/>
    <mergeCell ref="H25:H27"/>
    <mergeCell ref="B13:B15"/>
    <mergeCell ref="C13:C15"/>
    <mergeCell ref="D13:D15"/>
    <mergeCell ref="E13:E15"/>
    <mergeCell ref="A34:A60"/>
    <mergeCell ref="C22:C24"/>
    <mergeCell ref="D22:D24"/>
    <mergeCell ref="F38:G38"/>
    <mergeCell ref="F41:G41"/>
    <mergeCell ref="F44:G44"/>
    <mergeCell ref="F47:G47"/>
    <mergeCell ref="F50:G50"/>
    <mergeCell ref="F53:G53"/>
    <mergeCell ref="F56:G56"/>
    <mergeCell ref="F59:G59"/>
    <mergeCell ref="B34:B36"/>
    <mergeCell ref="C34:C36"/>
    <mergeCell ref="B43:B45"/>
    <mergeCell ref="C43:C45"/>
    <mergeCell ref="B46:B48"/>
    <mergeCell ref="C46:C48"/>
    <mergeCell ref="B49:B51"/>
    <mergeCell ref="C49:C51"/>
    <mergeCell ref="B52:B54"/>
    <mergeCell ref="C52:C54"/>
    <mergeCell ref="D34:D60"/>
    <mergeCell ref="E34:E60"/>
    <mergeCell ref="B55:B57"/>
    <mergeCell ref="C55:C57"/>
    <mergeCell ref="B58:B60"/>
    <mergeCell ref="C58:C60"/>
    <mergeCell ref="C25:C27"/>
    <mergeCell ref="D25:D27"/>
    <mergeCell ref="E25:E27"/>
    <mergeCell ref="D28:D30"/>
    <mergeCell ref="E28:E30"/>
    <mergeCell ref="B37:B39"/>
    <mergeCell ref="C37:C39"/>
    <mergeCell ref="B40:B42"/>
    <mergeCell ref="C40:C42"/>
    <mergeCell ref="C28:C30"/>
    <mergeCell ref="C31:C33"/>
    <mergeCell ref="D31:D33"/>
    <mergeCell ref="E31:E33"/>
  </mergeCells>
  <conditionalFormatting sqref="F12">
    <cfRule type="cellIs" dxfId="224" priority="1" operator="lessThan">
      <formula>$F$16</formula>
    </cfRule>
    <cfRule type="cellIs" dxfId="223" priority="2" operator="greaterThanOrEqual">
      <formula>$F$16</formula>
    </cfRule>
  </conditionalFormatting>
  <conditionalFormatting sqref="F15">
    <cfRule type="cellIs" dxfId="222" priority="3" operator="lessThan">
      <formula>$F$16</formula>
    </cfRule>
    <cfRule type="cellIs" dxfId="221" priority="4" operator="greaterThanOrEqual">
      <formula>$F$16</formula>
    </cfRule>
  </conditionalFormatting>
  <conditionalFormatting sqref="F18">
    <cfRule type="cellIs" dxfId="220" priority="5" operator="lessThan">
      <formula>$F$16</formula>
    </cfRule>
    <cfRule type="cellIs" dxfId="219" priority="6" operator="greaterThanOrEqual">
      <formula>$F$16</formula>
    </cfRule>
  </conditionalFormatting>
  <conditionalFormatting sqref="F21">
    <cfRule type="cellIs" dxfId="218" priority="7" operator="lessThan">
      <formula>$F$16</formula>
    </cfRule>
    <cfRule type="cellIs" dxfId="217" priority="8" operator="greaterThanOrEqual">
      <formula>$F$16</formula>
    </cfRule>
  </conditionalFormatting>
  <conditionalFormatting sqref="F24">
    <cfRule type="cellIs" dxfId="216" priority="9" operator="lessThan">
      <formula>$F$16</formula>
    </cfRule>
    <cfRule type="cellIs" dxfId="215" priority="10" operator="greaterThanOrEqual">
      <formula>$F$16</formula>
    </cfRule>
  </conditionalFormatting>
  <conditionalFormatting sqref="F27">
    <cfRule type="cellIs" dxfId="214" priority="11" operator="lessThan">
      <formula>$F$16</formula>
    </cfRule>
    <cfRule type="cellIs" dxfId="213" priority="12" operator="greaterThanOrEqual">
      <formula>$F$16</formula>
    </cfRule>
  </conditionalFormatting>
  <conditionalFormatting sqref="F30">
    <cfRule type="cellIs" dxfId="212" priority="13" operator="lessThan">
      <formula>$F$16</formula>
    </cfRule>
    <cfRule type="cellIs" dxfId="211" priority="14" operator="greaterThanOrEqual">
      <formula>$F$16</formula>
    </cfRule>
  </conditionalFormatting>
  <conditionalFormatting sqref="F33">
    <cfRule type="cellIs" dxfId="210" priority="15" operator="lessThan">
      <formula>$F$16</formula>
    </cfRule>
    <cfRule type="cellIs" dxfId="209" priority="16" operator="greaterThanOrEqual">
      <formula>$F$16</formula>
    </cfRule>
  </conditionalFormatting>
  <conditionalFormatting sqref="F39">
    <cfRule type="cellIs" dxfId="208" priority="17" operator="lessThan">
      <formula>$F$16</formula>
    </cfRule>
    <cfRule type="cellIs" dxfId="207" priority="18" operator="greaterThanOrEqual">
      <formula>$F$16</formula>
    </cfRule>
  </conditionalFormatting>
  <conditionalFormatting sqref="F42">
    <cfRule type="cellIs" dxfId="206" priority="19" operator="lessThan">
      <formula>$F$16</formula>
    </cfRule>
    <cfRule type="cellIs" dxfId="205" priority="20" operator="greaterThanOrEqual">
      <formula>$F$16</formula>
    </cfRule>
  </conditionalFormatting>
  <conditionalFormatting sqref="F45">
    <cfRule type="cellIs" dxfId="204" priority="21" operator="lessThan">
      <formula>$F$16</formula>
    </cfRule>
    <cfRule type="cellIs" dxfId="203" priority="22" operator="greaterThanOrEqual">
      <formula>$F$16</formula>
    </cfRule>
  </conditionalFormatting>
  <conditionalFormatting sqref="F48">
    <cfRule type="cellIs" dxfId="202" priority="23" operator="lessThan">
      <formula>$F$16</formula>
    </cfRule>
    <cfRule type="cellIs" dxfId="201" priority="24" operator="greaterThanOrEqual">
      <formula>$F$16</formula>
    </cfRule>
  </conditionalFormatting>
  <conditionalFormatting sqref="F51">
    <cfRule type="cellIs" dxfId="200" priority="25" operator="lessThan">
      <formula>$F$16</formula>
    </cfRule>
    <cfRule type="cellIs" dxfId="199" priority="26" operator="greaterThanOrEqual">
      <formula>$F$16</formula>
    </cfRule>
  </conditionalFormatting>
  <conditionalFormatting sqref="F54">
    <cfRule type="cellIs" dxfId="198" priority="27" operator="lessThan">
      <formula>$F$16</formula>
    </cfRule>
    <cfRule type="cellIs" dxfId="197" priority="28" operator="greaterThanOrEqual">
      <formula>$F$16</formula>
    </cfRule>
  </conditionalFormatting>
  <conditionalFormatting sqref="F57">
    <cfRule type="cellIs" dxfId="196" priority="29" operator="lessThan">
      <formula>$F$16</formula>
    </cfRule>
    <cfRule type="cellIs" dxfId="195" priority="30" operator="greaterThanOrEqual">
      <formula>$F$16</formula>
    </cfRule>
  </conditionalFormatting>
  <conditionalFormatting sqref="F60">
    <cfRule type="cellIs" dxfId="194" priority="31" operator="lessThan">
      <formula>$F$16</formula>
    </cfRule>
    <cfRule type="cellIs" dxfId="193" priority="32" operator="greaterThanOrEqual">
      <formula>$F$16</formula>
    </cfRule>
  </conditionalFormatting>
  <conditionalFormatting sqref="J4">
    <cfRule type="cellIs" dxfId="192" priority="33" operator="lessThan">
      <formula>$H$4</formula>
    </cfRule>
    <cfRule type="cellIs" dxfId="191" priority="34" operator="greaterThan">
      <formula>$H$4</formula>
    </cfRule>
  </conditionalFormatting>
  <pageMargins left="0.25" right="0.25" top="0.75" bottom="0.75" header="0" footer="0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F8A8-60EF-9F4F-8649-DA76DA697682}">
  <sheetPr codeName="Hoja15">
    <tabColor rgb="FF385623"/>
  </sheetPr>
  <dimension ref="A1:J33"/>
  <sheetViews>
    <sheetView showGridLines="0" topLeftCell="D1" workbookViewId="0">
      <selection activeCell="H3" sqref="H3:J3"/>
    </sheetView>
  </sheetViews>
  <sheetFormatPr baseColWidth="10" defaultColWidth="11.125" defaultRowHeight="15" customHeight="1"/>
  <cols>
    <col min="1" max="1" width="21.625" style="109" customWidth="1"/>
    <col min="2" max="2" width="37.375" style="109" customWidth="1"/>
    <col min="3" max="3" width="33.125" style="109" customWidth="1"/>
    <col min="4" max="4" width="28.5" style="109" customWidth="1"/>
    <col min="5" max="5" width="36.5" style="109" customWidth="1"/>
    <col min="6" max="6" width="19" style="109" customWidth="1"/>
    <col min="7" max="7" width="26.5" style="109" customWidth="1"/>
    <col min="8" max="8" width="25.125" style="109" customWidth="1"/>
    <col min="9" max="9" width="22.875" style="109" customWidth="1"/>
    <col min="10" max="10" width="21.875" style="109" customWidth="1"/>
    <col min="11" max="16384" width="11.125" style="109"/>
  </cols>
  <sheetData>
    <row r="1" spans="1:10" ht="123.95" customHeight="1" thickBo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60.75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34.5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48" customHeight="1" thickBot="1">
      <c r="A4" s="129" t="s">
        <v>6</v>
      </c>
      <c r="B4" s="220" t="s">
        <v>137</v>
      </c>
      <c r="C4" s="213"/>
      <c r="D4" s="130" t="s">
        <v>8</v>
      </c>
      <c r="E4" s="131" t="s">
        <v>980</v>
      </c>
      <c r="F4" s="218" t="s">
        <v>10</v>
      </c>
      <c r="G4" s="219"/>
      <c r="H4" s="145">
        <v>15200000</v>
      </c>
      <c r="I4" s="133" t="s">
        <v>11</v>
      </c>
      <c r="J4" s="134"/>
    </row>
    <row r="5" spans="1:10" ht="39.75" customHeight="1" thickBot="1">
      <c r="A5" s="270" t="s">
        <v>12</v>
      </c>
      <c r="B5" s="213"/>
      <c r="C5" s="271" t="s">
        <v>138</v>
      </c>
      <c r="D5" s="252"/>
      <c r="E5" s="213"/>
      <c r="F5" s="227" t="s">
        <v>14</v>
      </c>
      <c r="G5" s="228"/>
      <c r="H5" s="231" t="s">
        <v>139</v>
      </c>
      <c r="I5" s="233" t="s">
        <v>16</v>
      </c>
      <c r="J5" s="231" t="s">
        <v>17</v>
      </c>
    </row>
    <row r="6" spans="1:10" ht="60" customHeight="1" thickBot="1">
      <c r="A6" s="131" t="s">
        <v>18</v>
      </c>
      <c r="B6" s="135" t="s">
        <v>19</v>
      </c>
      <c r="C6" s="136" t="s">
        <v>20</v>
      </c>
      <c r="D6" s="137" t="s">
        <v>21</v>
      </c>
      <c r="E6" s="136" t="s">
        <v>22</v>
      </c>
      <c r="F6" s="229"/>
      <c r="G6" s="230"/>
      <c r="H6" s="232"/>
      <c r="I6" s="232"/>
      <c r="J6" s="232"/>
    </row>
    <row r="7" spans="1:10" ht="110.1" customHeight="1" thickBot="1">
      <c r="A7" s="277" t="s">
        <v>23</v>
      </c>
      <c r="B7" s="213"/>
      <c r="C7" s="272" t="s">
        <v>1064</v>
      </c>
      <c r="D7" s="252"/>
      <c r="E7" s="213"/>
      <c r="F7" s="273" t="s">
        <v>24</v>
      </c>
      <c r="G7" s="254"/>
      <c r="H7" s="255"/>
      <c r="I7" s="272" t="s">
        <v>25</v>
      </c>
      <c r="J7" s="213"/>
    </row>
    <row r="8" spans="1:10" ht="15.75" customHeight="1" thickBot="1">
      <c r="A8" s="279" t="s">
        <v>26</v>
      </c>
      <c r="B8" s="280" t="s">
        <v>27</v>
      </c>
      <c r="C8" s="281" t="s">
        <v>28</v>
      </c>
      <c r="D8" s="252"/>
      <c r="E8" s="213"/>
      <c r="F8" s="282" t="s">
        <v>29</v>
      </c>
      <c r="G8" s="228"/>
      <c r="H8" s="275" t="s">
        <v>30</v>
      </c>
      <c r="I8" s="274" t="s">
        <v>31</v>
      </c>
      <c r="J8" s="275" t="s">
        <v>32</v>
      </c>
    </row>
    <row r="9" spans="1:10" ht="15.75" customHeight="1" thickBot="1">
      <c r="A9" s="232"/>
      <c r="B9" s="258"/>
      <c r="C9" s="138" t="s">
        <v>33</v>
      </c>
      <c r="D9" s="139" t="s">
        <v>34</v>
      </c>
      <c r="E9" s="140" t="s">
        <v>35</v>
      </c>
      <c r="F9" s="229"/>
      <c r="G9" s="230"/>
      <c r="H9" s="232"/>
      <c r="I9" s="249"/>
      <c r="J9" s="232"/>
    </row>
    <row r="10" spans="1:10" ht="42" customHeight="1" thickBot="1">
      <c r="A10" s="278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1039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28.5" customHeight="1" thickBot="1">
      <c r="A11" s="235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</row>
    <row r="12" spans="1:10" ht="51" customHeight="1" thickBot="1">
      <c r="A12" s="232"/>
      <c r="B12" s="170"/>
      <c r="C12" s="178"/>
      <c r="D12" s="170"/>
      <c r="E12" s="170"/>
      <c r="F12" s="153"/>
      <c r="G12" s="92" t="s">
        <v>1038</v>
      </c>
      <c r="H12" s="170"/>
      <c r="I12" s="170"/>
      <c r="J12" s="170"/>
    </row>
    <row r="13" spans="1:10" ht="54" customHeight="1" thickBot="1">
      <c r="A13" s="279" t="s">
        <v>47</v>
      </c>
      <c r="B13" s="234" t="s">
        <v>48</v>
      </c>
      <c r="C13" s="276" t="s">
        <v>49</v>
      </c>
      <c r="D13" s="234" t="s">
        <v>50</v>
      </c>
      <c r="E13" s="234" t="s">
        <v>40</v>
      </c>
      <c r="F13" s="94">
        <v>75</v>
      </c>
      <c r="G13" s="123" t="s">
        <v>51</v>
      </c>
      <c r="H13" s="234" t="s">
        <v>52</v>
      </c>
      <c r="I13" s="234" t="s">
        <v>53</v>
      </c>
      <c r="J13" s="234" t="s">
        <v>54</v>
      </c>
    </row>
    <row r="14" spans="1:10" ht="19.5" customHeight="1" thickBot="1">
      <c r="A14" s="235"/>
      <c r="B14" s="235"/>
      <c r="C14" s="241"/>
      <c r="D14" s="235"/>
      <c r="E14" s="235"/>
      <c r="F14" s="237" t="s">
        <v>45</v>
      </c>
      <c r="G14" s="238"/>
      <c r="H14" s="235"/>
      <c r="I14" s="235"/>
      <c r="J14" s="235"/>
    </row>
    <row r="15" spans="1:10" ht="54.75" customHeight="1" thickBot="1">
      <c r="A15" s="232"/>
      <c r="B15" s="232"/>
      <c r="C15" s="242"/>
      <c r="D15" s="232"/>
      <c r="E15" s="232"/>
      <c r="F15" s="126"/>
      <c r="G15" s="124" t="s">
        <v>55</v>
      </c>
      <c r="H15" s="232"/>
      <c r="I15" s="232"/>
      <c r="J15" s="232"/>
    </row>
    <row r="16" spans="1:10" ht="42" customHeight="1" thickBot="1">
      <c r="A16" s="283" t="s">
        <v>56</v>
      </c>
      <c r="B16" s="231" t="s">
        <v>140</v>
      </c>
      <c r="C16" s="231" t="s">
        <v>141</v>
      </c>
      <c r="D16" s="234" t="s">
        <v>59</v>
      </c>
      <c r="E16" s="231" t="s">
        <v>117</v>
      </c>
      <c r="F16" s="94">
        <v>100</v>
      </c>
      <c r="G16" s="125" t="s">
        <v>60</v>
      </c>
      <c r="H16" s="234" t="s">
        <v>142</v>
      </c>
      <c r="I16" s="234" t="s">
        <v>124</v>
      </c>
      <c r="J16" s="234" t="s">
        <v>143</v>
      </c>
    </row>
    <row r="17" spans="1:10" ht="21" customHeight="1" thickBot="1">
      <c r="A17" s="284"/>
      <c r="B17" s="235"/>
      <c r="C17" s="235"/>
      <c r="D17" s="235"/>
      <c r="E17" s="235"/>
      <c r="F17" s="237" t="s">
        <v>45</v>
      </c>
      <c r="G17" s="238"/>
      <c r="H17" s="235"/>
      <c r="I17" s="235"/>
      <c r="J17" s="235"/>
    </row>
    <row r="18" spans="1:10" ht="47.25" customHeight="1" thickBot="1">
      <c r="A18" s="284"/>
      <c r="B18" s="232"/>
      <c r="C18" s="232"/>
      <c r="D18" s="232"/>
      <c r="E18" s="232"/>
      <c r="F18" s="152">
        <v>7</v>
      </c>
      <c r="G18" s="127" t="s">
        <v>64</v>
      </c>
      <c r="H18" s="232"/>
      <c r="I18" s="232"/>
      <c r="J18" s="232"/>
    </row>
    <row r="19" spans="1:10" ht="45" customHeight="1" thickBot="1">
      <c r="A19" s="284"/>
      <c r="B19" s="231" t="s">
        <v>144</v>
      </c>
      <c r="C19" s="231" t="s">
        <v>145</v>
      </c>
      <c r="D19" s="234" t="s">
        <v>59</v>
      </c>
      <c r="E19" s="231" t="s">
        <v>40</v>
      </c>
      <c r="F19" s="94">
        <v>100</v>
      </c>
      <c r="G19" s="125" t="s">
        <v>60</v>
      </c>
      <c r="H19" s="234" t="s">
        <v>146</v>
      </c>
      <c r="I19" s="234" t="s">
        <v>124</v>
      </c>
      <c r="J19" s="234" t="s">
        <v>147</v>
      </c>
    </row>
    <row r="20" spans="1:10" ht="22.5" customHeight="1" thickBot="1">
      <c r="A20" s="284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49.5" customHeight="1" thickBot="1">
      <c r="A21" s="284"/>
      <c r="B21" s="232"/>
      <c r="C21" s="232"/>
      <c r="D21" s="232"/>
      <c r="E21" s="232"/>
      <c r="F21" s="152">
        <v>10</v>
      </c>
      <c r="G21" s="127" t="s">
        <v>64</v>
      </c>
      <c r="H21" s="232"/>
      <c r="I21" s="232"/>
      <c r="J21" s="232"/>
    </row>
    <row r="22" spans="1:10" ht="39.75" customHeight="1" thickBot="1">
      <c r="A22" s="284"/>
      <c r="B22" s="231" t="s">
        <v>148</v>
      </c>
      <c r="C22" s="231" t="s">
        <v>149</v>
      </c>
      <c r="D22" s="234" t="s">
        <v>59</v>
      </c>
      <c r="E22" s="231" t="s">
        <v>40</v>
      </c>
      <c r="F22" s="94">
        <v>100</v>
      </c>
      <c r="G22" s="125" t="s">
        <v>60</v>
      </c>
      <c r="H22" s="234" t="s">
        <v>150</v>
      </c>
      <c r="I22" s="234" t="s">
        <v>124</v>
      </c>
      <c r="J22" s="234" t="s">
        <v>151</v>
      </c>
    </row>
    <row r="23" spans="1:10" ht="30" customHeight="1" thickBot="1">
      <c r="A23" s="284"/>
      <c r="B23" s="235"/>
      <c r="C23" s="235"/>
      <c r="D23" s="235"/>
      <c r="E23" s="235"/>
      <c r="F23" s="237" t="s">
        <v>45</v>
      </c>
      <c r="G23" s="238"/>
      <c r="H23" s="235"/>
      <c r="I23" s="235"/>
      <c r="J23" s="235"/>
    </row>
    <row r="24" spans="1:10" ht="39.75" customHeight="1" thickBot="1">
      <c r="A24" s="285"/>
      <c r="B24" s="232"/>
      <c r="C24" s="232"/>
      <c r="D24" s="232"/>
      <c r="E24" s="232"/>
      <c r="F24" s="126">
        <v>7</v>
      </c>
      <c r="G24" s="127" t="s">
        <v>64</v>
      </c>
      <c r="H24" s="232"/>
      <c r="I24" s="232"/>
      <c r="J24" s="232"/>
    </row>
    <row r="25" spans="1:10" ht="15.75" customHeight="1" thickBot="1">
      <c r="A25" s="278" t="s">
        <v>80</v>
      </c>
      <c r="B25" s="231" t="s">
        <v>152</v>
      </c>
      <c r="C25" s="231" t="s">
        <v>153</v>
      </c>
      <c r="D25" s="234" t="s">
        <v>59</v>
      </c>
      <c r="E25" s="231" t="s">
        <v>40</v>
      </c>
      <c r="F25" s="146">
        <v>1200</v>
      </c>
      <c r="G25" s="142" t="s">
        <v>154</v>
      </c>
      <c r="H25" s="231" t="s">
        <v>155</v>
      </c>
      <c r="I25" s="234" t="s">
        <v>59</v>
      </c>
      <c r="J25" s="234" t="s">
        <v>147</v>
      </c>
    </row>
    <row r="26" spans="1:10" ht="15.75" customHeight="1" thickBot="1">
      <c r="A26" s="235"/>
      <c r="B26" s="235"/>
      <c r="C26" s="235"/>
      <c r="D26" s="235"/>
      <c r="E26" s="235"/>
      <c r="F26" s="286" t="s">
        <v>45</v>
      </c>
      <c r="G26" s="238"/>
      <c r="H26" s="235"/>
      <c r="I26" s="235"/>
      <c r="J26" s="235"/>
    </row>
    <row r="27" spans="1:10" ht="49.5" customHeight="1" thickBot="1">
      <c r="A27" s="235"/>
      <c r="B27" s="232"/>
      <c r="C27" s="232"/>
      <c r="D27" s="232"/>
      <c r="E27" s="232"/>
      <c r="F27" s="151">
        <v>216</v>
      </c>
      <c r="G27" s="142" t="s">
        <v>45</v>
      </c>
      <c r="H27" s="232"/>
      <c r="I27" s="232"/>
      <c r="J27" s="232"/>
    </row>
    <row r="28" spans="1:10" ht="36" customHeight="1" thickBot="1">
      <c r="A28" s="235"/>
      <c r="B28" s="231" t="s">
        <v>156</v>
      </c>
      <c r="C28" s="231" t="s">
        <v>157</v>
      </c>
      <c r="D28" s="234" t="s">
        <v>59</v>
      </c>
      <c r="E28" s="231" t="s">
        <v>40</v>
      </c>
      <c r="F28" s="146">
        <v>13400</v>
      </c>
      <c r="G28" s="142" t="s">
        <v>158</v>
      </c>
      <c r="H28" s="231" t="s">
        <v>159</v>
      </c>
      <c r="I28" s="234" t="s">
        <v>59</v>
      </c>
      <c r="J28" s="234" t="s">
        <v>147</v>
      </c>
    </row>
    <row r="29" spans="1:10" ht="30" customHeight="1" thickBot="1">
      <c r="A29" s="235"/>
      <c r="B29" s="235"/>
      <c r="C29" s="235"/>
      <c r="D29" s="235"/>
      <c r="E29" s="235"/>
      <c r="F29" s="286" t="s">
        <v>45</v>
      </c>
      <c r="G29" s="238"/>
      <c r="H29" s="235"/>
      <c r="I29" s="235"/>
      <c r="J29" s="235"/>
    </row>
    <row r="30" spans="1:10" ht="55.5" customHeight="1" thickBot="1">
      <c r="A30" s="235"/>
      <c r="B30" s="232"/>
      <c r="C30" s="232"/>
      <c r="D30" s="232"/>
      <c r="E30" s="232"/>
      <c r="F30" s="151">
        <v>4363</v>
      </c>
      <c r="G30" s="142" t="s">
        <v>45</v>
      </c>
      <c r="H30" s="232"/>
      <c r="I30" s="232"/>
      <c r="J30" s="232"/>
    </row>
    <row r="31" spans="1:10" ht="39.75" customHeight="1" thickBot="1">
      <c r="A31" s="235"/>
      <c r="B31" s="231" t="s">
        <v>160</v>
      </c>
      <c r="C31" s="231" t="s">
        <v>161</v>
      </c>
      <c r="D31" s="234" t="s">
        <v>59</v>
      </c>
      <c r="E31" s="231" t="s">
        <v>40</v>
      </c>
      <c r="F31" s="146">
        <v>1200</v>
      </c>
      <c r="G31" s="147" t="s">
        <v>162</v>
      </c>
      <c r="H31" s="231" t="s">
        <v>163</v>
      </c>
      <c r="I31" s="234" t="s">
        <v>59</v>
      </c>
      <c r="J31" s="231" t="s">
        <v>164</v>
      </c>
    </row>
    <row r="32" spans="1:10" ht="40.5" customHeight="1" thickBot="1">
      <c r="A32" s="235"/>
      <c r="B32" s="235"/>
      <c r="C32" s="235"/>
      <c r="D32" s="235"/>
      <c r="E32" s="235"/>
      <c r="F32" s="286" t="s">
        <v>45</v>
      </c>
      <c r="G32" s="238"/>
      <c r="H32" s="235"/>
      <c r="I32" s="235"/>
      <c r="J32" s="235"/>
    </row>
    <row r="33" spans="1:10" ht="42" customHeight="1" thickBot="1">
      <c r="A33" s="232"/>
      <c r="B33" s="232"/>
      <c r="C33" s="232"/>
      <c r="D33" s="232"/>
      <c r="E33" s="232"/>
      <c r="F33" s="143">
        <v>48</v>
      </c>
      <c r="G33" s="147" t="s">
        <v>45</v>
      </c>
      <c r="H33" s="232"/>
      <c r="I33" s="232"/>
      <c r="J33" s="232"/>
    </row>
  </sheetData>
  <mergeCells count="94">
    <mergeCell ref="F32:G32"/>
    <mergeCell ref="I28:I30"/>
    <mergeCell ref="J28:J30"/>
    <mergeCell ref="F29:G29"/>
    <mergeCell ref="B31:B33"/>
    <mergeCell ref="C31:C33"/>
    <mergeCell ref="D31:D33"/>
    <mergeCell ref="E31:E33"/>
    <mergeCell ref="H31:H33"/>
    <mergeCell ref="I31:I33"/>
    <mergeCell ref="J31:J33"/>
    <mergeCell ref="H28:H30"/>
    <mergeCell ref="F26:G26"/>
    <mergeCell ref="B28:B30"/>
    <mergeCell ref="C28:C30"/>
    <mergeCell ref="D28:D30"/>
    <mergeCell ref="E28:E30"/>
    <mergeCell ref="J22:J24"/>
    <mergeCell ref="F23:G23"/>
    <mergeCell ref="A25:A33"/>
    <mergeCell ref="B25:B27"/>
    <mergeCell ref="C25:C27"/>
    <mergeCell ref="D25:D27"/>
    <mergeCell ref="E25:E27"/>
    <mergeCell ref="H25:H27"/>
    <mergeCell ref="I25:I27"/>
    <mergeCell ref="J25:J27"/>
    <mergeCell ref="B22:B24"/>
    <mergeCell ref="C22:C24"/>
    <mergeCell ref="D22:D24"/>
    <mergeCell ref="E22:E24"/>
    <mergeCell ref="H22:H24"/>
    <mergeCell ref="I22:I24"/>
    <mergeCell ref="J16:J18"/>
    <mergeCell ref="F17:G17"/>
    <mergeCell ref="B19:B21"/>
    <mergeCell ref="C19:C21"/>
    <mergeCell ref="D19:D21"/>
    <mergeCell ref="E19:E21"/>
    <mergeCell ref="H19:H21"/>
    <mergeCell ref="I19:I21"/>
    <mergeCell ref="J19:J21"/>
    <mergeCell ref="F20:G20"/>
    <mergeCell ref="I13:I15"/>
    <mergeCell ref="J13:J15"/>
    <mergeCell ref="F14:G14"/>
    <mergeCell ref="A16:A24"/>
    <mergeCell ref="B16:B18"/>
    <mergeCell ref="C16:C18"/>
    <mergeCell ref="D16:D18"/>
    <mergeCell ref="E16:E18"/>
    <mergeCell ref="H16:H18"/>
    <mergeCell ref="I16:I18"/>
    <mergeCell ref="A13:A15"/>
    <mergeCell ref="B13:B15"/>
    <mergeCell ref="C13:C15"/>
    <mergeCell ref="D13:D15"/>
    <mergeCell ref="E13:E15"/>
    <mergeCell ref="H13:H15"/>
    <mergeCell ref="J8:J9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A8:A9"/>
    <mergeCell ref="B8:B9"/>
    <mergeCell ref="C8:E8"/>
    <mergeCell ref="F8:G9"/>
    <mergeCell ref="H8:H9"/>
    <mergeCell ref="I8:I9"/>
    <mergeCell ref="I5:I6"/>
    <mergeCell ref="J5:J6"/>
    <mergeCell ref="A7:B7"/>
    <mergeCell ref="C7:E7"/>
    <mergeCell ref="F7:H7"/>
    <mergeCell ref="I7:J7"/>
    <mergeCell ref="H5:H6"/>
    <mergeCell ref="B4:C4"/>
    <mergeCell ref="F4:G4"/>
    <mergeCell ref="A5:B5"/>
    <mergeCell ref="C5:E5"/>
    <mergeCell ref="F5:G6"/>
    <mergeCell ref="A1:B2"/>
    <mergeCell ref="C1:G2"/>
    <mergeCell ref="I1:J1"/>
    <mergeCell ref="I2:J2"/>
    <mergeCell ref="A3:D3"/>
    <mergeCell ref="E3:G3"/>
    <mergeCell ref="H3:J3"/>
  </mergeCells>
  <conditionalFormatting sqref="F15">
    <cfRule type="cellIs" dxfId="190" priority="1" stopIfTrue="1" operator="lessThan">
      <formula>$F$16</formula>
    </cfRule>
    <cfRule type="cellIs" dxfId="189" priority="2" stopIfTrue="1" operator="greaterThanOrEqual">
      <formula>$F$16</formula>
    </cfRule>
    <cfRule type="cellIs" dxfId="188" priority="3" operator="lessThan">
      <formula>$F$16</formula>
    </cfRule>
    <cfRule type="cellIs" dxfId="187" priority="4" operator="greaterThanOrEqual">
      <formula>$F$16</formula>
    </cfRule>
  </conditionalFormatting>
  <conditionalFormatting sqref="F24">
    <cfRule type="cellIs" dxfId="186" priority="15" operator="lessThan">
      <formula>$F$16</formula>
    </cfRule>
    <cfRule type="cellIs" dxfId="185" priority="16" operator="greaterThanOrEqual">
      <formula>$F$16</formula>
    </cfRule>
  </conditionalFormatting>
  <conditionalFormatting sqref="F33">
    <cfRule type="cellIs" dxfId="184" priority="21" operator="lessThan">
      <formula>$F$16</formula>
    </cfRule>
    <cfRule type="cellIs" dxfId="183" priority="22" operator="greaterThanOrEqual">
      <formula>$F$16</formula>
    </cfRule>
  </conditionalFormatting>
  <conditionalFormatting sqref="J4">
    <cfRule type="cellIs" dxfId="182" priority="9" operator="lessThan">
      <formula>$H$4</formula>
    </cfRule>
    <cfRule type="cellIs" dxfId="181" priority="10" operator="greaterThan">
      <formula>$H$4</formula>
    </cfRule>
  </conditionalFormatting>
  <pageMargins left="0.7" right="0.7" top="0.75" bottom="0.75" header="0" footer="0"/>
  <pageSetup scale="3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rgb="FF385623"/>
  </sheetPr>
  <dimension ref="A1:Z1003"/>
  <sheetViews>
    <sheetView topLeftCell="E1" zoomScaleNormal="100" workbookViewId="0">
      <selection activeCell="H3" sqref="H3:J3"/>
    </sheetView>
  </sheetViews>
  <sheetFormatPr baseColWidth="10" defaultColWidth="11.125" defaultRowHeight="15" customHeight="1"/>
  <cols>
    <col min="1" max="1" width="26.375" style="81" customWidth="1"/>
    <col min="2" max="2" width="27.625" style="81" customWidth="1"/>
    <col min="3" max="3" width="31.375" style="81" customWidth="1"/>
    <col min="4" max="4" width="27.875" style="81" customWidth="1"/>
    <col min="5" max="5" width="44.625" style="81" customWidth="1"/>
    <col min="6" max="6" width="19.375" style="81" customWidth="1"/>
    <col min="7" max="7" width="31" style="81" customWidth="1"/>
    <col min="8" max="8" width="26" style="81" customWidth="1"/>
    <col min="9" max="9" width="32.125" style="81" customWidth="1"/>
    <col min="10" max="10" width="30.375" style="81" customWidth="1"/>
    <col min="11" max="26" width="10.5" style="81" customWidth="1"/>
    <col min="27" max="16384" width="11.125" style="81"/>
  </cols>
  <sheetData>
    <row r="1" spans="1:26" ht="102.75" customHeight="1" thickBot="1">
      <c r="A1" s="266" t="e" vm="1">
        <v>#VALUE!</v>
      </c>
      <c r="B1" s="267"/>
      <c r="C1" s="390" t="s">
        <v>347</v>
      </c>
      <c r="D1" s="391"/>
      <c r="E1" s="391"/>
      <c r="F1" s="391"/>
      <c r="G1" s="392"/>
      <c r="H1" s="83" t="s">
        <v>167</v>
      </c>
      <c r="I1" s="397" t="s">
        <v>574</v>
      </c>
      <c r="J1" s="398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102.75" customHeight="1" thickBot="1">
      <c r="A2" s="268"/>
      <c r="B2" s="269"/>
      <c r="C2" s="393"/>
      <c r="D2" s="394"/>
      <c r="E2" s="394"/>
      <c r="F2" s="395"/>
      <c r="G2" s="396"/>
      <c r="H2" s="83" t="s">
        <v>169</v>
      </c>
      <c r="I2" s="399">
        <v>45671</v>
      </c>
      <c r="J2" s="398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33" customHeight="1" thickBot="1">
      <c r="A3" s="402" t="s">
        <v>988</v>
      </c>
      <c r="B3" s="403"/>
      <c r="C3" s="403"/>
      <c r="D3" s="403"/>
      <c r="E3" s="404"/>
      <c r="F3" s="400" t="s">
        <v>986</v>
      </c>
      <c r="G3" s="401"/>
      <c r="H3" s="215" t="s">
        <v>1114</v>
      </c>
      <c r="I3" s="216"/>
      <c r="J3" s="217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33" customHeight="1" thickBot="1">
      <c r="A4" s="409" t="s">
        <v>8</v>
      </c>
      <c r="B4" s="409"/>
      <c r="C4" s="410"/>
      <c r="D4" s="407">
        <v>2025</v>
      </c>
      <c r="E4" s="408"/>
      <c r="F4" s="405" t="s">
        <v>10</v>
      </c>
      <c r="G4" s="166"/>
      <c r="H4" s="99">
        <v>27000000</v>
      </c>
      <c r="I4" s="84" t="s">
        <v>11</v>
      </c>
      <c r="J4" s="85">
        <v>26924545.43</v>
      </c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33" customHeight="1" thickBot="1">
      <c r="A5" s="402" t="s">
        <v>12</v>
      </c>
      <c r="B5" s="406"/>
      <c r="C5" s="411" t="s">
        <v>576</v>
      </c>
      <c r="D5" s="412"/>
      <c r="E5" s="412"/>
      <c r="F5" s="412"/>
      <c r="G5" s="412"/>
      <c r="H5" s="412"/>
      <c r="I5" s="412"/>
      <c r="J5" s="413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22.75" customHeight="1" thickBot="1">
      <c r="A6" s="86" t="s">
        <v>18</v>
      </c>
      <c r="B6" s="87" t="s">
        <v>19</v>
      </c>
      <c r="C6" s="100" t="s">
        <v>577</v>
      </c>
      <c r="D6" s="101" t="s">
        <v>21</v>
      </c>
      <c r="E6" s="100" t="s">
        <v>1042</v>
      </c>
      <c r="F6" s="389" t="s">
        <v>14</v>
      </c>
      <c r="G6" s="167"/>
      <c r="H6" s="100" t="s">
        <v>1041</v>
      </c>
      <c r="I6" s="101" t="s">
        <v>16</v>
      </c>
      <c r="J6" s="100" t="s">
        <v>1040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33" customHeight="1" thickBot="1">
      <c r="A7" s="187" t="s">
        <v>23</v>
      </c>
      <c r="B7" s="172"/>
      <c r="C7" s="188" t="s">
        <v>987</v>
      </c>
      <c r="D7" s="192"/>
      <c r="E7" s="172"/>
      <c r="F7" s="193" t="s">
        <v>24</v>
      </c>
      <c r="G7" s="194"/>
      <c r="H7" s="195"/>
      <c r="I7" s="188" t="s">
        <v>578</v>
      </c>
      <c r="J7" s="172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15.75" customHeight="1">
      <c r="A8" s="196" t="s">
        <v>26</v>
      </c>
      <c r="B8" s="197" t="s">
        <v>27</v>
      </c>
      <c r="C8" s="199" t="s">
        <v>28</v>
      </c>
      <c r="D8" s="192"/>
      <c r="E8" s="172"/>
      <c r="F8" s="200" t="s">
        <v>29</v>
      </c>
      <c r="G8" s="201"/>
      <c r="H8" s="191" t="s">
        <v>30</v>
      </c>
      <c r="I8" s="189" t="s">
        <v>31</v>
      </c>
      <c r="J8" s="191" t="s">
        <v>32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.75" customHeight="1">
      <c r="A9" s="170"/>
      <c r="B9" s="198"/>
      <c r="C9" s="88" t="s">
        <v>33</v>
      </c>
      <c r="D9" s="89" t="s">
        <v>34</v>
      </c>
      <c r="E9" s="90" t="s">
        <v>35</v>
      </c>
      <c r="F9" s="202"/>
      <c r="G9" s="203"/>
      <c r="H9" s="170"/>
      <c r="I9" s="190"/>
      <c r="J9" s="17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92.1" customHeight="1">
      <c r="A10" s="186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1036</v>
      </c>
      <c r="G10" s="91" t="s">
        <v>1037</v>
      </c>
      <c r="H10" s="168" t="s">
        <v>581</v>
      </c>
      <c r="I10" s="168" t="s">
        <v>1035</v>
      </c>
      <c r="J10" s="168" t="s">
        <v>582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34.5" customHeight="1">
      <c r="A11" s="169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26" customHeight="1">
      <c r="A12" s="170"/>
      <c r="B12" s="170"/>
      <c r="C12" s="178"/>
      <c r="D12" s="170"/>
      <c r="E12" s="170"/>
      <c r="F12" s="105" t="s">
        <v>1039</v>
      </c>
      <c r="G12" s="92" t="s">
        <v>1038</v>
      </c>
      <c r="H12" s="170"/>
      <c r="I12" s="170"/>
      <c r="J12" s="17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60" customHeight="1">
      <c r="A13" s="179" t="s">
        <v>47</v>
      </c>
      <c r="B13" s="180" t="s">
        <v>583</v>
      </c>
      <c r="C13" s="168" t="s">
        <v>584</v>
      </c>
      <c r="D13" s="168" t="s">
        <v>585</v>
      </c>
      <c r="E13" s="168" t="s">
        <v>40</v>
      </c>
      <c r="F13" s="91">
        <v>36.200000000000003</v>
      </c>
      <c r="G13" s="93" t="s">
        <v>586</v>
      </c>
      <c r="H13" s="168" t="s">
        <v>587</v>
      </c>
      <c r="I13" s="168" t="s">
        <v>588</v>
      </c>
      <c r="J13" s="168" t="s">
        <v>582</v>
      </c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39" customHeight="1" thickBot="1">
      <c r="A14" s="169"/>
      <c r="B14" s="169"/>
      <c r="C14" s="169"/>
      <c r="D14" s="169"/>
      <c r="E14" s="169"/>
      <c r="F14" s="173" t="s">
        <v>45</v>
      </c>
      <c r="G14" s="174"/>
      <c r="H14" s="169"/>
      <c r="I14" s="169"/>
      <c r="J14" s="169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0.5" customHeight="1" thickBot="1">
      <c r="A15" s="185"/>
      <c r="B15" s="170"/>
      <c r="C15" s="170"/>
      <c r="D15" s="170"/>
      <c r="E15" s="170"/>
      <c r="F15" s="104">
        <v>36.299999999999997</v>
      </c>
      <c r="G15" s="95" t="s">
        <v>589</v>
      </c>
      <c r="H15" s="170"/>
      <c r="I15" s="170"/>
      <c r="J15" s="17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48.75" customHeight="1" thickBot="1">
      <c r="A16" s="162" t="s">
        <v>1053</v>
      </c>
      <c r="B16" s="165" t="s">
        <v>590</v>
      </c>
      <c r="C16" s="168" t="s">
        <v>1026</v>
      </c>
      <c r="D16" s="168" t="s">
        <v>1027</v>
      </c>
      <c r="E16" s="168" t="s">
        <v>1028</v>
      </c>
      <c r="F16" s="96" t="s">
        <v>1029</v>
      </c>
      <c r="G16" s="93" t="s">
        <v>1030</v>
      </c>
      <c r="H16" s="168" t="s">
        <v>1033</v>
      </c>
      <c r="I16" s="168" t="s">
        <v>1034</v>
      </c>
      <c r="J16" s="168" t="s">
        <v>582</v>
      </c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30.75" customHeight="1" thickBot="1">
      <c r="A17" s="163"/>
      <c r="B17" s="166"/>
      <c r="C17" s="169"/>
      <c r="D17" s="169"/>
      <c r="E17" s="169"/>
      <c r="F17" s="173" t="s">
        <v>45</v>
      </c>
      <c r="G17" s="174"/>
      <c r="H17" s="169"/>
      <c r="I17" s="169"/>
      <c r="J17" s="169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108" customHeight="1" thickBot="1">
      <c r="A18" s="163"/>
      <c r="B18" s="167"/>
      <c r="C18" s="170"/>
      <c r="D18" s="170"/>
      <c r="E18" s="170"/>
      <c r="F18" s="104" t="s">
        <v>1031</v>
      </c>
      <c r="G18" s="95" t="s">
        <v>1032</v>
      </c>
      <c r="H18" s="170"/>
      <c r="I18" s="170"/>
      <c r="J18" s="17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17.75" customHeight="1" thickBot="1">
      <c r="A19" s="163"/>
      <c r="B19" s="165" t="s">
        <v>591</v>
      </c>
      <c r="C19" s="168" t="s">
        <v>1022</v>
      </c>
      <c r="D19" s="168" t="s">
        <v>1020</v>
      </c>
      <c r="E19" s="168" t="s">
        <v>40</v>
      </c>
      <c r="F19" s="96">
        <v>42.1</v>
      </c>
      <c r="G19" s="93" t="s">
        <v>1021</v>
      </c>
      <c r="H19" s="168" t="s">
        <v>1025</v>
      </c>
      <c r="I19" s="168" t="s">
        <v>1024</v>
      </c>
      <c r="J19" s="168" t="s">
        <v>582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54.75" customHeight="1" thickBot="1">
      <c r="A20" s="163"/>
      <c r="B20" s="166"/>
      <c r="C20" s="169"/>
      <c r="D20" s="169"/>
      <c r="E20" s="169"/>
      <c r="F20" s="173" t="s">
        <v>45</v>
      </c>
      <c r="G20" s="174"/>
      <c r="H20" s="169"/>
      <c r="I20" s="169"/>
      <c r="J20" s="169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72.75" customHeight="1" thickBot="1">
      <c r="A21" s="163"/>
      <c r="B21" s="167"/>
      <c r="C21" s="170"/>
      <c r="D21" s="170"/>
      <c r="E21" s="170"/>
      <c r="F21" s="104">
        <v>40</v>
      </c>
      <c r="G21" s="95" t="s">
        <v>1023</v>
      </c>
      <c r="H21" s="170"/>
      <c r="I21" s="170"/>
      <c r="J21" s="17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73.5" customHeight="1" thickBot="1">
      <c r="A22" s="163"/>
      <c r="B22" s="165" t="s">
        <v>594</v>
      </c>
      <c r="C22" s="168" t="s">
        <v>1015</v>
      </c>
      <c r="D22" s="168" t="s">
        <v>1014</v>
      </c>
      <c r="E22" s="168" t="s">
        <v>40</v>
      </c>
      <c r="F22" s="102">
        <v>0.08</v>
      </c>
      <c r="G22" s="93" t="s">
        <v>1016</v>
      </c>
      <c r="H22" s="168" t="s">
        <v>1018</v>
      </c>
      <c r="I22" s="168" t="s">
        <v>1019</v>
      </c>
      <c r="J22" s="168" t="s">
        <v>597</v>
      </c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51.75" customHeight="1" thickBot="1">
      <c r="A23" s="163"/>
      <c r="B23" s="166"/>
      <c r="C23" s="169"/>
      <c r="D23" s="169"/>
      <c r="E23" s="169"/>
      <c r="F23" s="173" t="s">
        <v>45</v>
      </c>
      <c r="G23" s="174"/>
      <c r="H23" s="169"/>
      <c r="I23" s="169"/>
      <c r="J23" s="169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57" customHeight="1" thickBot="1">
      <c r="A24" s="164"/>
      <c r="B24" s="166"/>
      <c r="C24" s="170"/>
      <c r="D24" s="170"/>
      <c r="E24" s="170"/>
      <c r="F24" s="103">
        <v>0.08</v>
      </c>
      <c r="G24" s="95" t="s">
        <v>1017</v>
      </c>
      <c r="H24" s="170"/>
      <c r="I24" s="170"/>
      <c r="J24" s="17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70.5" customHeight="1" thickBot="1">
      <c r="A25" s="162" t="s">
        <v>989</v>
      </c>
      <c r="B25" s="175" t="s">
        <v>1002</v>
      </c>
      <c r="C25" s="381" t="s">
        <v>1003</v>
      </c>
      <c r="D25" s="168" t="s">
        <v>982</v>
      </c>
      <c r="E25" s="168" t="s">
        <v>40</v>
      </c>
      <c r="F25" s="91">
        <v>500</v>
      </c>
      <c r="G25" s="92" t="s">
        <v>1004</v>
      </c>
      <c r="H25" s="168" t="s">
        <v>1010</v>
      </c>
      <c r="I25" s="377" t="s">
        <v>1011</v>
      </c>
      <c r="J25" s="168" t="s">
        <v>597</v>
      </c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36" customHeight="1" thickBot="1">
      <c r="A26" s="163"/>
      <c r="B26" s="163"/>
      <c r="C26" s="183"/>
      <c r="D26" s="169"/>
      <c r="E26" s="169"/>
      <c r="F26" s="171" t="s">
        <v>45</v>
      </c>
      <c r="G26" s="172"/>
      <c r="H26" s="169"/>
      <c r="I26" s="169"/>
      <c r="J26" s="169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55.5" customHeight="1" thickBot="1">
      <c r="A27" s="163"/>
      <c r="B27" s="164"/>
      <c r="C27" s="183"/>
      <c r="D27" s="185"/>
      <c r="E27" s="185"/>
      <c r="F27" s="94">
        <v>600</v>
      </c>
      <c r="G27" s="92" t="s">
        <v>1005</v>
      </c>
      <c r="H27" s="185"/>
      <c r="I27" s="170"/>
      <c r="J27" s="17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55.5" customHeight="1" thickBot="1">
      <c r="A28" s="163"/>
      <c r="B28" s="385" t="s">
        <v>1006</v>
      </c>
      <c r="C28" s="385" t="s">
        <v>1007</v>
      </c>
      <c r="D28" s="175" t="s">
        <v>982</v>
      </c>
      <c r="E28" s="165" t="s">
        <v>40</v>
      </c>
      <c r="F28" s="91">
        <v>40</v>
      </c>
      <c r="G28" s="93" t="s">
        <v>1008</v>
      </c>
      <c r="H28" s="175" t="s">
        <v>1012</v>
      </c>
      <c r="I28" s="377" t="s">
        <v>1013</v>
      </c>
      <c r="J28" s="168" t="s">
        <v>1000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5.5" customHeight="1" thickBot="1">
      <c r="A29" s="163"/>
      <c r="B29" s="386"/>
      <c r="C29" s="386"/>
      <c r="D29" s="163"/>
      <c r="E29" s="166"/>
      <c r="F29" s="171" t="s">
        <v>45</v>
      </c>
      <c r="G29" s="388"/>
      <c r="H29" s="163"/>
      <c r="I29" s="169"/>
      <c r="J29" s="169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55.5" customHeight="1" thickBot="1">
      <c r="A30" s="163"/>
      <c r="B30" s="387"/>
      <c r="C30" s="387"/>
      <c r="D30" s="164"/>
      <c r="E30" s="166"/>
      <c r="F30" s="94">
        <v>50</v>
      </c>
      <c r="G30" s="93" t="s">
        <v>1009</v>
      </c>
      <c r="H30" s="164"/>
      <c r="I30" s="170"/>
      <c r="J30" s="17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99" customHeight="1" thickBot="1">
      <c r="A31" s="163"/>
      <c r="B31" s="383" t="s">
        <v>994</v>
      </c>
      <c r="C31" s="384" t="s">
        <v>595</v>
      </c>
      <c r="D31" s="377" t="s">
        <v>982</v>
      </c>
      <c r="E31" s="168" t="s">
        <v>40</v>
      </c>
      <c r="F31" s="91">
        <v>1000</v>
      </c>
      <c r="G31" s="92" t="s">
        <v>596</v>
      </c>
      <c r="H31" s="377" t="s">
        <v>599</v>
      </c>
      <c r="I31" s="377" t="s">
        <v>600</v>
      </c>
      <c r="J31" s="168" t="s">
        <v>1000</v>
      </c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36" customHeight="1" thickBot="1">
      <c r="A32" s="163"/>
      <c r="B32" s="166"/>
      <c r="C32" s="177"/>
      <c r="D32" s="169"/>
      <c r="E32" s="169"/>
      <c r="F32" s="173" t="s">
        <v>45</v>
      </c>
      <c r="G32" s="172"/>
      <c r="H32" s="169"/>
      <c r="I32" s="169"/>
      <c r="J32" s="169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93" customHeight="1" thickBot="1">
      <c r="A33" s="163"/>
      <c r="B33" s="166"/>
      <c r="C33" s="178"/>
      <c r="D33" s="170"/>
      <c r="E33" s="185"/>
      <c r="F33" s="104">
        <v>1200</v>
      </c>
      <c r="G33" s="92" t="s">
        <v>598</v>
      </c>
      <c r="H33" s="170"/>
      <c r="I33" s="170"/>
      <c r="J33" s="17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72" customHeight="1" thickBot="1">
      <c r="A34" s="163"/>
      <c r="B34" s="165" t="s">
        <v>995</v>
      </c>
      <c r="C34" s="176" t="s">
        <v>996</v>
      </c>
      <c r="D34" s="168" t="s">
        <v>982</v>
      </c>
      <c r="E34" s="168" t="s">
        <v>40</v>
      </c>
      <c r="F34" s="91">
        <v>100</v>
      </c>
      <c r="G34" s="92" t="s">
        <v>997</v>
      </c>
      <c r="H34" s="168" t="s">
        <v>999</v>
      </c>
      <c r="I34" s="168" t="s">
        <v>1001</v>
      </c>
      <c r="J34" s="168" t="s">
        <v>1000</v>
      </c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72" customHeight="1" thickBot="1">
      <c r="A35" s="163"/>
      <c r="B35" s="166"/>
      <c r="C35" s="177"/>
      <c r="D35" s="169"/>
      <c r="E35" s="169"/>
      <c r="F35" s="171" t="s">
        <v>45</v>
      </c>
      <c r="G35" s="172"/>
      <c r="H35" s="169"/>
      <c r="I35" s="169"/>
      <c r="J35" s="169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72" customHeight="1" thickBot="1">
      <c r="A36" s="163"/>
      <c r="B36" s="166"/>
      <c r="C36" s="178"/>
      <c r="D36" s="170"/>
      <c r="E36" s="170"/>
      <c r="F36" s="106">
        <v>105</v>
      </c>
      <c r="G36" s="92" t="s">
        <v>998</v>
      </c>
      <c r="H36" s="170"/>
      <c r="I36" s="170"/>
      <c r="J36" s="17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72" customHeight="1" thickBot="1">
      <c r="A37" s="163"/>
      <c r="B37" s="378" t="s">
        <v>981</v>
      </c>
      <c r="C37" s="381" t="s">
        <v>993</v>
      </c>
      <c r="D37" s="168" t="s">
        <v>982</v>
      </c>
      <c r="E37" s="168" t="s">
        <v>40</v>
      </c>
      <c r="F37" s="91">
        <v>900</v>
      </c>
      <c r="G37" s="92" t="s">
        <v>992</v>
      </c>
      <c r="H37" s="168" t="s">
        <v>990</v>
      </c>
      <c r="I37" s="168" t="s">
        <v>984</v>
      </c>
      <c r="J37" s="168" t="s">
        <v>985</v>
      </c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72" customHeight="1" thickBot="1">
      <c r="A38" s="163"/>
      <c r="B38" s="379"/>
      <c r="C38" s="183"/>
      <c r="D38" s="169"/>
      <c r="E38" s="169"/>
      <c r="F38" s="171" t="s">
        <v>45</v>
      </c>
      <c r="G38" s="172"/>
      <c r="H38" s="169"/>
      <c r="I38" s="169"/>
      <c r="J38" s="169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72" customHeight="1" thickBot="1">
      <c r="A39" s="164"/>
      <c r="B39" s="380"/>
      <c r="C39" s="382"/>
      <c r="D39" s="170"/>
      <c r="E39" s="170"/>
      <c r="F39" s="106">
        <v>900</v>
      </c>
      <c r="G39" s="92" t="s">
        <v>991</v>
      </c>
      <c r="H39" s="170"/>
      <c r="I39" s="170"/>
      <c r="J39" s="17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15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15.7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15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2" t="s">
        <v>983</v>
      </c>
    </row>
    <row r="43" spans="1:26" ht="15.7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 t="str">
        <f>UPPER(Z42)</f>
        <v>COMPROBAR QUE LOS ESTUDIANTES BENEFICIADOS REALMENTE UTILIZAN EL TRANSPORTE PÚBLICO EN EL MUNICIPIO Y CUMPLEN CON LOS REQUISITOS DE ELEGIBILIDAD ESTABLECIDOS POR EL AYUNTAMIENTO.</v>
      </c>
    </row>
    <row r="44" spans="1:26" ht="15.7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15.7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15.7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15.7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15.7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15.7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15.7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15.7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15.7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15.7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15.7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15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15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15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15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15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15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15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15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15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15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15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15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15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15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15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15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15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5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15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15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15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5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15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15.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15.7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15.7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15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15.7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15.75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15.75" customHeight="1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15.75" customHeight="1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15.75" customHeight="1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15.75" customHeight="1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15.7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15.7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15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15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15.75" customHeight="1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15.75" customHeight="1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15.75" customHeight="1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15.75" customHeight="1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15.75" customHeight="1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15.75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15.75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15.75" customHeight="1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15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15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15.75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15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15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15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15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15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15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15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15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15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15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15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15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15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15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15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15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15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15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15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15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15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15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15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15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15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15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15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15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15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15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15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15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15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15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15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15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15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15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15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15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15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15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15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15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15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15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15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15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15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15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15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15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15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15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15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15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15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15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15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15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15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15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15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15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15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15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15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15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15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15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15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15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15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15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15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15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15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15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15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15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15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15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15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15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15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15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15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15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15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15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15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15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15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15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15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15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15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15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15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15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15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15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15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15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15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15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15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spans="1:26" ht="15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spans="1:26" ht="15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spans="1:26" ht="15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spans="1:26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  <row r="1001" spans="1:26" ht="15.75" customHeight="1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</row>
    <row r="1002" spans="1:26" ht="15.75" customHeight="1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</row>
    <row r="1003" spans="1:26" ht="15.75" customHeight="1">
      <c r="A1003" s="80"/>
      <c r="B1003" s="8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</row>
  </sheetData>
  <mergeCells count="108">
    <mergeCell ref="F6:G6"/>
    <mergeCell ref="A7:B7"/>
    <mergeCell ref="I7:J7"/>
    <mergeCell ref="I8:I9"/>
    <mergeCell ref="J8:J9"/>
    <mergeCell ref="C7:E7"/>
    <mergeCell ref="F7:H7"/>
    <mergeCell ref="A8:A9"/>
    <mergeCell ref="A1:B2"/>
    <mergeCell ref="C1:G2"/>
    <mergeCell ref="I1:J1"/>
    <mergeCell ref="I2:J2"/>
    <mergeCell ref="H3:J3"/>
    <mergeCell ref="F3:G3"/>
    <mergeCell ref="A3:E3"/>
    <mergeCell ref="F4:G4"/>
    <mergeCell ref="A5:B5"/>
    <mergeCell ref="D4:E4"/>
    <mergeCell ref="A4:C4"/>
    <mergeCell ref="C5:J5"/>
    <mergeCell ref="B8:B9"/>
    <mergeCell ref="C8:E8"/>
    <mergeCell ref="F8:G9"/>
    <mergeCell ref="H8:H9"/>
    <mergeCell ref="A10:A12"/>
    <mergeCell ref="B10:B12"/>
    <mergeCell ref="C10:C12"/>
    <mergeCell ref="D10:D12"/>
    <mergeCell ref="E10:E12"/>
    <mergeCell ref="I10:I12"/>
    <mergeCell ref="J10:J12"/>
    <mergeCell ref="H16:H18"/>
    <mergeCell ref="I16:I18"/>
    <mergeCell ref="E16:E18"/>
    <mergeCell ref="F17:G17"/>
    <mergeCell ref="I13:I15"/>
    <mergeCell ref="J13:J15"/>
    <mergeCell ref="H10:H12"/>
    <mergeCell ref="F11:G11"/>
    <mergeCell ref="A13:A15"/>
    <mergeCell ref="B13:B15"/>
    <mergeCell ref="C13:C15"/>
    <mergeCell ref="D13:D15"/>
    <mergeCell ref="E13:E15"/>
    <mergeCell ref="C28:C30"/>
    <mergeCell ref="D25:D27"/>
    <mergeCell ref="E25:E27"/>
    <mergeCell ref="I19:I21"/>
    <mergeCell ref="F20:G20"/>
    <mergeCell ref="D22:D24"/>
    <mergeCell ref="E22:E24"/>
    <mergeCell ref="H22:H24"/>
    <mergeCell ref="I22:I24"/>
    <mergeCell ref="F23:G23"/>
    <mergeCell ref="D19:D21"/>
    <mergeCell ref="E19:E21"/>
    <mergeCell ref="H19:H21"/>
    <mergeCell ref="D28:D30"/>
    <mergeCell ref="E28:E30"/>
    <mergeCell ref="F29:G29"/>
    <mergeCell ref="H28:H30"/>
    <mergeCell ref="B37:B39"/>
    <mergeCell ref="C37:C39"/>
    <mergeCell ref="D37:D39"/>
    <mergeCell ref="E37:E39"/>
    <mergeCell ref="A16:A24"/>
    <mergeCell ref="C16:C18"/>
    <mergeCell ref="D16:D18"/>
    <mergeCell ref="A25:A39"/>
    <mergeCell ref="D31:D33"/>
    <mergeCell ref="E31:E33"/>
    <mergeCell ref="B34:B36"/>
    <mergeCell ref="C34:C36"/>
    <mergeCell ref="D34:D36"/>
    <mergeCell ref="E34:E36"/>
    <mergeCell ref="B31:B33"/>
    <mergeCell ref="C31:C33"/>
    <mergeCell ref="B16:B18"/>
    <mergeCell ref="B25:B27"/>
    <mergeCell ref="C25:C27"/>
    <mergeCell ref="B22:B24"/>
    <mergeCell ref="C22:C24"/>
    <mergeCell ref="B19:B21"/>
    <mergeCell ref="C19:C21"/>
    <mergeCell ref="B28:B30"/>
    <mergeCell ref="H37:H39"/>
    <mergeCell ref="I37:I39"/>
    <mergeCell ref="J37:J39"/>
    <mergeCell ref="F38:G38"/>
    <mergeCell ref="H13:H15"/>
    <mergeCell ref="F14:G14"/>
    <mergeCell ref="I34:I36"/>
    <mergeCell ref="J34:J36"/>
    <mergeCell ref="F35:G35"/>
    <mergeCell ref="H25:H27"/>
    <mergeCell ref="F26:G26"/>
    <mergeCell ref="I25:I27"/>
    <mergeCell ref="J25:J27"/>
    <mergeCell ref="I28:I30"/>
    <mergeCell ref="J28:J30"/>
    <mergeCell ref="J16:J18"/>
    <mergeCell ref="H31:H33"/>
    <mergeCell ref="I31:I33"/>
    <mergeCell ref="J31:J33"/>
    <mergeCell ref="F32:G32"/>
    <mergeCell ref="H34:H36"/>
    <mergeCell ref="J19:J21"/>
    <mergeCell ref="J22:J24"/>
  </mergeCells>
  <conditionalFormatting sqref="F24">
    <cfRule type="cellIs" dxfId="180" priority="1" operator="equal">
      <formula>$F$22</formula>
    </cfRule>
  </conditionalFormatting>
  <conditionalFormatting sqref="F27 F30">
    <cfRule type="cellIs" dxfId="179" priority="14" operator="lessThan">
      <formula>$F$28</formula>
    </cfRule>
    <cfRule type="cellIs" dxfId="178" priority="15" operator="greaterThanOrEqual">
      <formula>$F$28</formula>
    </cfRule>
  </conditionalFormatting>
  <conditionalFormatting sqref="J4">
    <cfRule type="cellIs" dxfId="177" priority="22" operator="lessThan">
      <formula>$H$4</formula>
    </cfRule>
    <cfRule type="cellIs" dxfId="176" priority="23" operator="greaterThan">
      <formula>$H$4</formula>
    </cfRule>
  </conditionalFormatting>
  <pageMargins left="0.25" right="0.25" top="0.75" bottom="0.75" header="0" footer="0"/>
  <pageSetup scale="27" orientation="portrait"/>
  <rowBreaks count="1" manualBreakCount="1">
    <brk id="4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6586-B63A-2747-A226-A178774215FB}">
  <sheetPr codeName="Hoja17">
    <tabColor rgb="FF385623"/>
  </sheetPr>
  <dimension ref="A1:J33"/>
  <sheetViews>
    <sheetView topLeftCell="D1" zoomScaleNormal="100" workbookViewId="0">
      <selection activeCell="H3" sqref="H3:J3"/>
    </sheetView>
  </sheetViews>
  <sheetFormatPr baseColWidth="10" defaultRowHeight="15.75"/>
  <cols>
    <col min="1" max="1" width="25.875" customWidth="1"/>
    <col min="2" max="2" width="34.625" customWidth="1"/>
    <col min="3" max="3" width="35.125" customWidth="1"/>
    <col min="4" max="4" width="31.875" customWidth="1"/>
    <col min="5" max="5" width="36.5" customWidth="1"/>
    <col min="6" max="6" width="25.375" customWidth="1"/>
    <col min="7" max="7" width="23.5" customWidth="1"/>
    <col min="8" max="8" width="28" customWidth="1"/>
    <col min="9" max="9" width="20.375" customWidth="1"/>
    <col min="10" max="10" width="33.875" customWidth="1"/>
  </cols>
  <sheetData>
    <row r="1" spans="1:10" ht="93.95" customHeight="1" thickBo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7.099999999999994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24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30.95" customHeight="1" thickBot="1">
      <c r="A4" s="129" t="s">
        <v>6</v>
      </c>
      <c r="B4" s="220" t="s">
        <v>904</v>
      </c>
      <c r="C4" s="213"/>
      <c r="D4" s="130" t="s">
        <v>8</v>
      </c>
      <c r="E4" s="131" t="s">
        <v>980</v>
      </c>
      <c r="F4" s="218" t="s">
        <v>10</v>
      </c>
      <c r="G4" s="219"/>
      <c r="H4" s="145">
        <v>51000000</v>
      </c>
      <c r="I4" s="133" t="s">
        <v>11</v>
      </c>
      <c r="J4" s="134">
        <v>50766808.5</v>
      </c>
    </row>
    <row r="5" spans="1:10" ht="24" thickBot="1">
      <c r="A5" s="437" t="s">
        <v>12</v>
      </c>
      <c r="B5" s="425"/>
      <c r="C5" s="438" t="s">
        <v>1065</v>
      </c>
      <c r="D5" s="292"/>
      <c r="E5" s="425"/>
      <c r="F5" s="439" t="s">
        <v>14</v>
      </c>
      <c r="G5" s="430"/>
      <c r="H5" s="415" t="s">
        <v>1066</v>
      </c>
      <c r="I5" s="436" t="s">
        <v>16</v>
      </c>
      <c r="J5" s="415" t="s">
        <v>1067</v>
      </c>
    </row>
    <row r="6" spans="1:10" ht="30.75" thickBot="1">
      <c r="A6" s="131" t="s">
        <v>18</v>
      </c>
      <c r="B6" s="154" t="s">
        <v>19</v>
      </c>
      <c r="C6" s="136" t="s">
        <v>1068</v>
      </c>
      <c r="D6" s="155" t="s">
        <v>21</v>
      </c>
      <c r="E6" s="136" t="s">
        <v>1069</v>
      </c>
      <c r="F6" s="423"/>
      <c r="G6" s="431"/>
      <c r="H6" s="416"/>
      <c r="I6" s="416"/>
      <c r="J6" s="416"/>
    </row>
    <row r="7" spans="1:10" ht="45.95" customHeight="1" thickBot="1">
      <c r="A7" s="433" t="s">
        <v>23</v>
      </c>
      <c r="B7" s="425"/>
      <c r="C7" s="424" t="s">
        <v>1100</v>
      </c>
      <c r="D7" s="292"/>
      <c r="E7" s="425"/>
      <c r="F7" s="434" t="s">
        <v>24</v>
      </c>
      <c r="G7" s="435"/>
      <c r="H7" s="430"/>
      <c r="I7" s="424" t="s">
        <v>25</v>
      </c>
      <c r="J7" s="425"/>
    </row>
    <row r="8" spans="1:10" ht="19.5" thickBot="1">
      <c r="A8" s="420" t="s">
        <v>26</v>
      </c>
      <c r="B8" s="426" t="s">
        <v>27</v>
      </c>
      <c r="C8" s="428" t="s">
        <v>28</v>
      </c>
      <c r="D8" s="292"/>
      <c r="E8" s="425"/>
      <c r="F8" s="429" t="s">
        <v>29</v>
      </c>
      <c r="G8" s="430"/>
      <c r="H8" s="432" t="s">
        <v>30</v>
      </c>
      <c r="I8" s="274" t="s">
        <v>31</v>
      </c>
      <c r="J8" s="432" t="s">
        <v>32</v>
      </c>
    </row>
    <row r="9" spans="1:10" ht="16.5" thickBot="1">
      <c r="A9" s="416"/>
      <c r="B9" s="427"/>
      <c r="C9" s="138" t="s">
        <v>33</v>
      </c>
      <c r="D9" s="139" t="s">
        <v>34</v>
      </c>
      <c r="E9" s="140" t="s">
        <v>35</v>
      </c>
      <c r="F9" s="423"/>
      <c r="G9" s="431"/>
      <c r="H9" s="416"/>
      <c r="I9" s="431"/>
      <c r="J9" s="416"/>
    </row>
    <row r="10" spans="1:10" ht="90.95" customHeight="1" thickBot="1">
      <c r="A10" s="419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1036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36.950000000000003" customHeight="1" thickBot="1">
      <c r="A11" s="299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</row>
    <row r="12" spans="1:10" ht="63.75" thickBot="1">
      <c r="A12" s="416"/>
      <c r="B12" s="170"/>
      <c r="C12" s="178"/>
      <c r="D12" s="170"/>
      <c r="E12" s="170"/>
      <c r="F12" s="105" t="s">
        <v>1039</v>
      </c>
      <c r="G12" s="92" t="s">
        <v>1038</v>
      </c>
      <c r="H12" s="170"/>
      <c r="I12" s="170"/>
      <c r="J12" s="170"/>
    </row>
    <row r="13" spans="1:10" ht="63.75" thickBot="1">
      <c r="A13" s="420" t="s">
        <v>47</v>
      </c>
      <c r="B13" s="421" t="s">
        <v>1070</v>
      </c>
      <c r="C13" s="422" t="s">
        <v>1071</v>
      </c>
      <c r="D13" s="417" t="s">
        <v>59</v>
      </c>
      <c r="E13" s="417" t="s">
        <v>40</v>
      </c>
      <c r="F13" s="94">
        <v>89</v>
      </c>
      <c r="G13" s="123" t="s">
        <v>1072</v>
      </c>
      <c r="H13" s="417" t="s">
        <v>1073</v>
      </c>
      <c r="I13" s="417" t="s">
        <v>124</v>
      </c>
      <c r="J13" s="417" t="s">
        <v>1074</v>
      </c>
    </row>
    <row r="14" spans="1:10" ht="16.5" thickBot="1">
      <c r="A14" s="299"/>
      <c r="B14" s="299"/>
      <c r="C14" s="302"/>
      <c r="D14" s="299"/>
      <c r="E14" s="299"/>
      <c r="F14" s="418" t="s">
        <v>45</v>
      </c>
      <c r="G14" s="292"/>
      <c r="H14" s="299"/>
      <c r="I14" s="299"/>
      <c r="J14" s="299"/>
    </row>
    <row r="15" spans="1:10" ht="32.25" thickBot="1">
      <c r="A15" s="416"/>
      <c r="B15" s="416"/>
      <c r="C15" s="423"/>
      <c r="D15" s="416"/>
      <c r="E15" s="416"/>
      <c r="F15" s="126">
        <v>90</v>
      </c>
      <c r="G15" s="124" t="s">
        <v>1075</v>
      </c>
      <c r="H15" s="416"/>
      <c r="I15" s="416"/>
      <c r="J15" s="416"/>
    </row>
    <row r="16" spans="1:10" ht="95.25" thickBot="1">
      <c r="A16" s="283" t="s">
        <v>56</v>
      </c>
      <c r="B16" s="415" t="s">
        <v>1076</v>
      </c>
      <c r="C16" s="415" t="s">
        <v>1077</v>
      </c>
      <c r="D16" s="417" t="s">
        <v>1078</v>
      </c>
      <c r="E16" s="415" t="s">
        <v>40</v>
      </c>
      <c r="F16" s="156" t="s">
        <v>1079</v>
      </c>
      <c r="G16" s="125" t="s">
        <v>1080</v>
      </c>
      <c r="H16" s="417" t="s">
        <v>1081</v>
      </c>
      <c r="I16" s="417" t="s">
        <v>1082</v>
      </c>
      <c r="J16" s="417" t="s">
        <v>1083</v>
      </c>
    </row>
    <row r="17" spans="1:10" ht="16.5" thickBot="1">
      <c r="A17" s="303"/>
      <c r="B17" s="299"/>
      <c r="C17" s="299"/>
      <c r="D17" s="299"/>
      <c r="E17" s="299"/>
      <c r="F17" s="418" t="s">
        <v>45</v>
      </c>
      <c r="G17" s="292"/>
      <c r="H17" s="299"/>
      <c r="I17" s="299"/>
      <c r="J17" s="299"/>
    </row>
    <row r="18" spans="1:10" ht="126.75" thickBot="1">
      <c r="A18" s="303"/>
      <c r="B18" s="416"/>
      <c r="C18" s="416"/>
      <c r="D18" s="416"/>
      <c r="E18" s="416"/>
      <c r="F18" s="157" t="s">
        <v>1084</v>
      </c>
      <c r="G18" s="127" t="s">
        <v>1085</v>
      </c>
      <c r="H18" s="416"/>
      <c r="I18" s="416"/>
      <c r="J18" s="416"/>
    </row>
    <row r="19" spans="1:10" ht="32.25" thickBot="1">
      <c r="A19" s="303"/>
      <c r="B19" s="415" t="s">
        <v>1086</v>
      </c>
      <c r="C19" s="415" t="s">
        <v>1087</v>
      </c>
      <c r="D19" s="417" t="s">
        <v>59</v>
      </c>
      <c r="E19" s="415" t="s">
        <v>40</v>
      </c>
      <c r="F19" s="94">
        <v>20</v>
      </c>
      <c r="G19" s="125" t="s">
        <v>60</v>
      </c>
      <c r="H19" s="417" t="s">
        <v>1088</v>
      </c>
      <c r="I19" s="417" t="s">
        <v>124</v>
      </c>
      <c r="J19" s="417" t="s">
        <v>1083</v>
      </c>
    </row>
    <row r="20" spans="1:10" ht="16.5" thickBot="1">
      <c r="A20" s="303"/>
      <c r="B20" s="299"/>
      <c r="C20" s="299"/>
      <c r="D20" s="299"/>
      <c r="E20" s="299"/>
      <c r="F20" s="418" t="s">
        <v>45</v>
      </c>
      <c r="G20" s="292"/>
      <c r="H20" s="299"/>
      <c r="I20" s="299"/>
      <c r="J20" s="299"/>
    </row>
    <row r="21" spans="1:10" ht="48" thickBot="1">
      <c r="A21" s="303"/>
      <c r="B21" s="416"/>
      <c r="C21" s="416"/>
      <c r="D21" s="416"/>
      <c r="E21" s="416"/>
      <c r="F21" s="126" t="e">
        <f>AVERAGE('[1]BD SECRETARIA1'!G3:G7)</f>
        <v>#REF!</v>
      </c>
      <c r="G21" s="127" t="s">
        <v>64</v>
      </c>
      <c r="H21" s="416"/>
      <c r="I21" s="416"/>
      <c r="J21" s="416"/>
    </row>
    <row r="22" spans="1:10" ht="32.25" thickBot="1">
      <c r="A22" s="303"/>
      <c r="B22" s="415" t="s">
        <v>1089</v>
      </c>
      <c r="C22" s="415" t="s">
        <v>1090</v>
      </c>
      <c r="D22" s="417" t="s">
        <v>59</v>
      </c>
      <c r="E22" s="415" t="s">
        <v>40</v>
      </c>
      <c r="F22" s="94">
        <v>80</v>
      </c>
      <c r="G22" s="125" t="s">
        <v>60</v>
      </c>
      <c r="H22" s="417" t="s">
        <v>1088</v>
      </c>
      <c r="I22" s="417" t="s">
        <v>124</v>
      </c>
      <c r="J22" s="417" t="s">
        <v>1083</v>
      </c>
    </row>
    <row r="23" spans="1:10" ht="16.5" thickBot="1">
      <c r="A23" s="303"/>
      <c r="B23" s="299"/>
      <c r="C23" s="299"/>
      <c r="D23" s="299"/>
      <c r="E23" s="299"/>
      <c r="F23" s="418" t="s">
        <v>45</v>
      </c>
      <c r="G23" s="292"/>
      <c r="H23" s="299"/>
      <c r="I23" s="299"/>
      <c r="J23" s="299"/>
    </row>
    <row r="24" spans="1:10" ht="48" thickBot="1">
      <c r="A24" s="303"/>
      <c r="B24" s="416"/>
      <c r="C24" s="416"/>
      <c r="D24" s="416"/>
      <c r="E24" s="416"/>
      <c r="F24" s="126" t="e">
        <f>AVERAGE('[1]BD SECRETARIA1'!G6:G10)</f>
        <v>#REF!</v>
      </c>
      <c r="G24" s="127" t="s">
        <v>64</v>
      </c>
      <c r="H24" s="416"/>
      <c r="I24" s="416"/>
      <c r="J24" s="416"/>
    </row>
    <row r="25" spans="1:10" ht="32.25" thickBot="1">
      <c r="A25" s="419" t="s">
        <v>80</v>
      </c>
      <c r="B25" s="415" t="s">
        <v>1091</v>
      </c>
      <c r="C25" s="415" t="s">
        <v>1092</v>
      </c>
      <c r="D25" s="417" t="s">
        <v>59</v>
      </c>
      <c r="E25" s="415" t="s">
        <v>40</v>
      </c>
      <c r="F25" s="141">
        <v>450</v>
      </c>
      <c r="G25" s="142" t="s">
        <v>154</v>
      </c>
      <c r="H25" s="415" t="s">
        <v>1093</v>
      </c>
      <c r="I25" s="417" t="s">
        <v>59</v>
      </c>
      <c r="J25" s="417" t="s">
        <v>1094</v>
      </c>
    </row>
    <row r="26" spans="1:10" ht="16.5" thickBot="1">
      <c r="A26" s="299"/>
      <c r="B26" s="299"/>
      <c r="C26" s="299"/>
      <c r="D26" s="299"/>
      <c r="E26" s="299"/>
      <c r="F26" s="414" t="s">
        <v>45</v>
      </c>
      <c r="G26" s="292"/>
      <c r="H26" s="299"/>
      <c r="I26" s="299"/>
      <c r="J26" s="299"/>
    </row>
    <row r="27" spans="1:10" ht="16.5" thickBot="1">
      <c r="A27" s="299"/>
      <c r="B27" s="416"/>
      <c r="C27" s="416"/>
      <c r="D27" s="416"/>
      <c r="E27" s="416"/>
      <c r="F27" s="143">
        <v>810</v>
      </c>
      <c r="G27" s="142" t="s">
        <v>45</v>
      </c>
      <c r="H27" s="416"/>
      <c r="I27" s="416"/>
      <c r="J27" s="416"/>
    </row>
    <row r="28" spans="1:10" ht="32.25" thickBot="1">
      <c r="A28" s="299"/>
      <c r="B28" s="415" t="s">
        <v>1095</v>
      </c>
      <c r="C28" s="415" t="s">
        <v>1096</v>
      </c>
      <c r="D28" s="417" t="s">
        <v>59</v>
      </c>
      <c r="E28" s="415" t="s">
        <v>40</v>
      </c>
      <c r="F28" s="141">
        <v>2000</v>
      </c>
      <c r="G28" s="142" t="s">
        <v>158</v>
      </c>
      <c r="H28" s="415" t="s">
        <v>1097</v>
      </c>
      <c r="I28" s="417" t="s">
        <v>59</v>
      </c>
      <c r="J28" s="417" t="s">
        <v>1074</v>
      </c>
    </row>
    <row r="29" spans="1:10" ht="42" customHeight="1" thickBot="1">
      <c r="A29" s="299"/>
      <c r="B29" s="299"/>
      <c r="C29" s="299"/>
      <c r="D29" s="299"/>
      <c r="E29" s="299"/>
      <c r="F29" s="414" t="s">
        <v>45</v>
      </c>
      <c r="G29" s="292"/>
      <c r="H29" s="299"/>
      <c r="I29" s="299"/>
      <c r="J29" s="299"/>
    </row>
    <row r="30" spans="1:10" ht="41.1" customHeight="1" thickBot="1">
      <c r="A30" s="299"/>
      <c r="B30" s="416"/>
      <c r="C30" s="416"/>
      <c r="D30" s="416"/>
      <c r="E30" s="416"/>
      <c r="F30" s="143">
        <v>2657</v>
      </c>
      <c r="G30" s="142" t="s">
        <v>45</v>
      </c>
      <c r="H30" s="416"/>
      <c r="I30" s="416"/>
      <c r="J30" s="416"/>
    </row>
    <row r="31" spans="1:10" ht="16.5" thickBot="1">
      <c r="A31" s="299"/>
      <c r="B31" s="415" t="s">
        <v>1098</v>
      </c>
      <c r="C31" s="415" t="s">
        <v>281</v>
      </c>
      <c r="D31" s="417" t="s">
        <v>59</v>
      </c>
      <c r="E31" s="415" t="s">
        <v>40</v>
      </c>
      <c r="F31" s="141">
        <v>50</v>
      </c>
      <c r="G31" s="147" t="s">
        <v>162</v>
      </c>
      <c r="H31" s="415" t="s">
        <v>1099</v>
      </c>
      <c r="I31" s="417" t="s">
        <v>59</v>
      </c>
      <c r="J31" s="417" t="s">
        <v>1094</v>
      </c>
    </row>
    <row r="32" spans="1:10" ht="16.5" thickBot="1">
      <c r="A32" s="299"/>
      <c r="B32" s="299"/>
      <c r="C32" s="299"/>
      <c r="D32" s="299"/>
      <c r="E32" s="299"/>
      <c r="F32" s="414" t="s">
        <v>45</v>
      </c>
      <c r="G32" s="292"/>
      <c r="H32" s="299"/>
      <c r="I32" s="299"/>
      <c r="J32" s="299"/>
    </row>
    <row r="33" spans="1:10" ht="72.95" customHeight="1" thickBot="1">
      <c r="A33" s="416"/>
      <c r="B33" s="416"/>
      <c r="C33" s="416"/>
      <c r="D33" s="416"/>
      <c r="E33" s="416"/>
      <c r="F33" s="143">
        <v>120</v>
      </c>
      <c r="G33" s="147" t="s">
        <v>45</v>
      </c>
      <c r="H33" s="416"/>
      <c r="I33" s="416"/>
      <c r="J33" s="416"/>
    </row>
  </sheetData>
  <mergeCells count="94">
    <mergeCell ref="I5:I6"/>
    <mergeCell ref="J5:J6"/>
    <mergeCell ref="I1:J1"/>
    <mergeCell ref="I2:J2"/>
    <mergeCell ref="B4:C4"/>
    <mergeCell ref="F4:G4"/>
    <mergeCell ref="H3:J3"/>
    <mergeCell ref="A1:B2"/>
    <mergeCell ref="C1:G2"/>
    <mergeCell ref="A3:D3"/>
    <mergeCell ref="E3:G3"/>
    <mergeCell ref="A5:B5"/>
    <mergeCell ref="C5:E5"/>
    <mergeCell ref="F5:G6"/>
    <mergeCell ref="H5:H6"/>
    <mergeCell ref="I7:J7"/>
    <mergeCell ref="A8:A9"/>
    <mergeCell ref="B8:B9"/>
    <mergeCell ref="C8:E8"/>
    <mergeCell ref="F8:G9"/>
    <mergeCell ref="H8:H9"/>
    <mergeCell ref="I8:I9"/>
    <mergeCell ref="J8:J9"/>
    <mergeCell ref="A7:B7"/>
    <mergeCell ref="C7:E7"/>
    <mergeCell ref="F7:H7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I13:I15"/>
    <mergeCell ref="J13:J15"/>
    <mergeCell ref="F14:G14"/>
    <mergeCell ref="H13:H15"/>
    <mergeCell ref="A16:A24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J16:J18"/>
    <mergeCell ref="F17:G17"/>
    <mergeCell ref="B19:B21"/>
    <mergeCell ref="C19:C21"/>
    <mergeCell ref="D19:D21"/>
    <mergeCell ref="E19:E21"/>
    <mergeCell ref="H19:H21"/>
    <mergeCell ref="I19:I21"/>
    <mergeCell ref="J19:J21"/>
    <mergeCell ref="F20:G20"/>
    <mergeCell ref="H16:H18"/>
    <mergeCell ref="I16:I18"/>
    <mergeCell ref="J22:J24"/>
    <mergeCell ref="F23:G23"/>
    <mergeCell ref="A25:A33"/>
    <mergeCell ref="B25:B27"/>
    <mergeCell ref="C25:C27"/>
    <mergeCell ref="D25:D27"/>
    <mergeCell ref="E25:E27"/>
    <mergeCell ref="H25:H27"/>
    <mergeCell ref="I25:I27"/>
    <mergeCell ref="J25:J27"/>
    <mergeCell ref="B22:B24"/>
    <mergeCell ref="C22:C24"/>
    <mergeCell ref="D22:D24"/>
    <mergeCell ref="E22:E24"/>
    <mergeCell ref="H22:H24"/>
    <mergeCell ref="I22:I24"/>
    <mergeCell ref="I28:I30"/>
    <mergeCell ref="J28:J30"/>
    <mergeCell ref="F29:G29"/>
    <mergeCell ref="B31:B33"/>
    <mergeCell ref="C31:C33"/>
    <mergeCell ref="D31:D33"/>
    <mergeCell ref="E31:E33"/>
    <mergeCell ref="H31:H33"/>
    <mergeCell ref="I31:I33"/>
    <mergeCell ref="J31:J33"/>
    <mergeCell ref="F32:G32"/>
    <mergeCell ref="H28:H30"/>
    <mergeCell ref="F26:G26"/>
    <mergeCell ref="B28:B30"/>
    <mergeCell ref="C28:C30"/>
    <mergeCell ref="D28:D30"/>
    <mergeCell ref="E28:E30"/>
  </mergeCells>
  <conditionalFormatting sqref="F15">
    <cfRule type="cellIs" dxfId="175" priority="7" operator="greaterThan">
      <formula>$F$13</formula>
    </cfRule>
    <cfRule type="cellIs" dxfId="174" priority="8" operator="lessThan">
      <formula>$F$13</formula>
    </cfRule>
    <cfRule type="cellIs" dxfId="173" priority="11" operator="lessThan">
      <formula>$F$16</formula>
    </cfRule>
    <cfRule type="cellIs" dxfId="172" priority="12" operator="greaterThanOrEqual">
      <formula>$F$16</formula>
    </cfRule>
  </conditionalFormatting>
  <conditionalFormatting sqref="F21 F24">
    <cfRule type="cellIs" dxfId="171" priority="13" operator="lessThan">
      <formula>70</formula>
    </cfRule>
    <cfRule type="cellIs" dxfId="170" priority="14" operator="greaterThanOrEqual">
      <formula>80</formula>
    </cfRule>
  </conditionalFormatting>
  <conditionalFormatting sqref="F27">
    <cfRule type="cellIs" dxfId="169" priority="15" operator="lessThan">
      <formula>800</formula>
    </cfRule>
    <cfRule type="cellIs" dxfId="168" priority="16" operator="greaterThanOrEqual">
      <formula>801</formula>
    </cfRule>
  </conditionalFormatting>
  <conditionalFormatting sqref="F30">
    <cfRule type="cellIs" dxfId="167" priority="17" operator="lessThan">
      <formula>2000</formula>
    </cfRule>
    <cfRule type="cellIs" dxfId="166" priority="18" operator="greaterThanOrEqual">
      <formula>2000</formula>
    </cfRule>
  </conditionalFormatting>
  <conditionalFormatting sqref="F33">
    <cfRule type="cellIs" dxfId="165" priority="19" operator="lessThan">
      <formula>100</formula>
    </cfRule>
    <cfRule type="cellIs" dxfId="164" priority="20" operator="greaterThanOrEqual">
      <formula>100</formula>
    </cfRule>
  </conditionalFormatting>
  <conditionalFormatting sqref="J4">
    <cfRule type="cellIs" dxfId="163" priority="1" operator="lessThan">
      <formula>$H$4</formula>
    </cfRule>
    <cfRule type="cellIs" dxfId="162" priority="2" operator="greaterThan">
      <formula>$H$4</formula>
    </cfRule>
  </conditionalFormatting>
  <pageMargins left="0.7" right="0.7" top="0.75" bottom="0.75" header="0.3" footer="0.3"/>
  <pageSetup scale="28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B406-C553-A741-BA32-5650968AB719}">
  <sheetPr codeName="Hoja25">
    <tabColor rgb="FF385623"/>
  </sheetPr>
  <dimension ref="A1:J33"/>
  <sheetViews>
    <sheetView topLeftCell="E1" zoomScaleNormal="100" workbookViewId="0">
      <selection activeCell="H3" sqref="H3:J3"/>
    </sheetView>
  </sheetViews>
  <sheetFormatPr baseColWidth="10" defaultRowHeight="15.75"/>
  <cols>
    <col min="1" max="1" width="25.875" customWidth="1"/>
    <col min="2" max="2" width="34.625" customWidth="1"/>
    <col min="3" max="3" width="35.125" customWidth="1"/>
    <col min="4" max="4" width="31.875" customWidth="1"/>
    <col min="5" max="5" width="36.5" customWidth="1"/>
    <col min="6" max="6" width="25.375" customWidth="1"/>
    <col min="7" max="7" width="23.5" customWidth="1"/>
    <col min="8" max="8" width="28" customWidth="1"/>
    <col min="9" max="9" width="20.375" customWidth="1"/>
    <col min="10" max="10" width="33.875" customWidth="1"/>
  </cols>
  <sheetData>
    <row r="1" spans="1:10" ht="93.95" customHeight="1" thickBo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7.099999999999994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24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30.95" customHeight="1" thickBot="1">
      <c r="A4" s="129" t="s">
        <v>6</v>
      </c>
      <c r="B4" s="220" t="s">
        <v>1101</v>
      </c>
      <c r="C4" s="213"/>
      <c r="D4" s="130" t="s">
        <v>8</v>
      </c>
      <c r="E4" s="131" t="s">
        <v>980</v>
      </c>
      <c r="F4" s="218" t="s">
        <v>10</v>
      </c>
      <c r="G4" s="219"/>
      <c r="H4" s="145">
        <v>52000000</v>
      </c>
      <c r="I4" s="133" t="s">
        <v>11</v>
      </c>
      <c r="J4" s="134">
        <v>50766808.5</v>
      </c>
    </row>
    <row r="5" spans="1:10" ht="24" thickBot="1">
      <c r="A5" s="437" t="s">
        <v>12</v>
      </c>
      <c r="B5" s="425"/>
      <c r="C5" s="438" t="s">
        <v>1065</v>
      </c>
      <c r="D5" s="292"/>
      <c r="E5" s="425"/>
      <c r="F5" s="439" t="s">
        <v>14</v>
      </c>
      <c r="G5" s="430"/>
      <c r="H5" s="415" t="s">
        <v>1066</v>
      </c>
      <c r="I5" s="436" t="s">
        <v>16</v>
      </c>
      <c r="J5" s="415" t="s">
        <v>1067</v>
      </c>
    </row>
    <row r="6" spans="1:10" ht="30.75" thickBot="1">
      <c r="A6" s="131" t="s">
        <v>18</v>
      </c>
      <c r="B6" s="154" t="s">
        <v>19</v>
      </c>
      <c r="C6" s="136" t="s">
        <v>1068</v>
      </c>
      <c r="D6" s="155" t="s">
        <v>21</v>
      </c>
      <c r="E6" s="136" t="s">
        <v>1069</v>
      </c>
      <c r="F6" s="423"/>
      <c r="G6" s="431"/>
      <c r="H6" s="416"/>
      <c r="I6" s="416"/>
      <c r="J6" s="416"/>
    </row>
    <row r="7" spans="1:10" ht="45.95" customHeight="1" thickBot="1">
      <c r="A7" s="433" t="s">
        <v>23</v>
      </c>
      <c r="B7" s="425"/>
      <c r="C7" s="424" t="s">
        <v>1102</v>
      </c>
      <c r="D7" s="292"/>
      <c r="E7" s="425"/>
      <c r="F7" s="434" t="s">
        <v>24</v>
      </c>
      <c r="G7" s="435"/>
      <c r="H7" s="430"/>
      <c r="I7" s="424" t="s">
        <v>25</v>
      </c>
      <c r="J7" s="425"/>
    </row>
    <row r="8" spans="1:10" ht="19.5" thickBot="1">
      <c r="A8" s="420" t="s">
        <v>26</v>
      </c>
      <c r="B8" s="426" t="s">
        <v>27</v>
      </c>
      <c r="C8" s="428" t="s">
        <v>28</v>
      </c>
      <c r="D8" s="292"/>
      <c r="E8" s="425"/>
      <c r="F8" s="429" t="s">
        <v>29</v>
      </c>
      <c r="G8" s="430"/>
      <c r="H8" s="432" t="s">
        <v>30</v>
      </c>
      <c r="I8" s="274" t="s">
        <v>31</v>
      </c>
      <c r="J8" s="432" t="s">
        <v>32</v>
      </c>
    </row>
    <row r="9" spans="1:10" ht="16.5" thickBot="1">
      <c r="A9" s="416"/>
      <c r="B9" s="427"/>
      <c r="C9" s="138" t="s">
        <v>33</v>
      </c>
      <c r="D9" s="139" t="s">
        <v>34</v>
      </c>
      <c r="E9" s="140" t="s">
        <v>35</v>
      </c>
      <c r="F9" s="423"/>
      <c r="G9" s="431"/>
      <c r="H9" s="416"/>
      <c r="I9" s="431"/>
      <c r="J9" s="416"/>
    </row>
    <row r="10" spans="1:10" ht="90.95" customHeight="1" thickBot="1">
      <c r="A10" s="419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1039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36.950000000000003" customHeight="1" thickBot="1">
      <c r="A11" s="299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</row>
    <row r="12" spans="1:10" ht="63.75" thickBot="1">
      <c r="A12" s="416"/>
      <c r="B12" s="170"/>
      <c r="C12" s="178"/>
      <c r="D12" s="170"/>
      <c r="E12" s="170"/>
      <c r="F12" s="91"/>
      <c r="G12" s="92" t="s">
        <v>1038</v>
      </c>
      <c r="H12" s="170"/>
      <c r="I12" s="170"/>
      <c r="J12" s="170"/>
    </row>
    <row r="13" spans="1:10" ht="63.75" thickBot="1">
      <c r="A13" s="420" t="s">
        <v>47</v>
      </c>
      <c r="B13" s="421" t="s">
        <v>1070</v>
      </c>
      <c r="C13" s="422" t="s">
        <v>1071</v>
      </c>
      <c r="D13" s="417" t="s">
        <v>59</v>
      </c>
      <c r="E13" s="417" t="s">
        <v>40</v>
      </c>
      <c r="F13" s="94">
        <v>90</v>
      </c>
      <c r="G13" s="123" t="s">
        <v>1072</v>
      </c>
      <c r="H13" s="417" t="s">
        <v>1073</v>
      </c>
      <c r="I13" s="417" t="s">
        <v>124</v>
      </c>
      <c r="J13" s="417" t="s">
        <v>1074</v>
      </c>
    </row>
    <row r="14" spans="1:10" ht="16.5" thickBot="1">
      <c r="A14" s="299"/>
      <c r="B14" s="299"/>
      <c r="C14" s="302"/>
      <c r="D14" s="299"/>
      <c r="E14" s="299"/>
      <c r="F14" s="418" t="s">
        <v>45</v>
      </c>
      <c r="G14" s="292"/>
      <c r="H14" s="299"/>
      <c r="I14" s="299"/>
      <c r="J14" s="299"/>
    </row>
    <row r="15" spans="1:10" ht="32.25" thickBot="1">
      <c r="A15" s="416"/>
      <c r="B15" s="416"/>
      <c r="C15" s="423"/>
      <c r="D15" s="416"/>
      <c r="E15" s="416"/>
      <c r="F15" s="126"/>
      <c r="G15" s="124" t="s">
        <v>1075</v>
      </c>
      <c r="H15" s="416"/>
      <c r="I15" s="416"/>
      <c r="J15" s="416"/>
    </row>
    <row r="16" spans="1:10" ht="95.25" thickBot="1">
      <c r="A16" s="283" t="s">
        <v>56</v>
      </c>
      <c r="B16" s="415" t="s">
        <v>1076</v>
      </c>
      <c r="C16" s="415" t="s">
        <v>1077</v>
      </c>
      <c r="D16" s="417" t="s">
        <v>1078</v>
      </c>
      <c r="E16" s="415" t="s">
        <v>40</v>
      </c>
      <c r="F16" s="156" t="s">
        <v>1079</v>
      </c>
      <c r="G16" s="125" t="s">
        <v>1080</v>
      </c>
      <c r="H16" s="417" t="s">
        <v>1081</v>
      </c>
      <c r="I16" s="417" t="s">
        <v>1082</v>
      </c>
      <c r="J16" s="417" t="s">
        <v>1083</v>
      </c>
    </row>
    <row r="17" spans="1:10" ht="16.5" thickBot="1">
      <c r="A17" s="303"/>
      <c r="B17" s="299"/>
      <c r="C17" s="299"/>
      <c r="D17" s="299"/>
      <c r="E17" s="299"/>
      <c r="F17" s="418" t="s">
        <v>45</v>
      </c>
      <c r="G17" s="292"/>
      <c r="H17" s="299"/>
      <c r="I17" s="299"/>
      <c r="J17" s="299"/>
    </row>
    <row r="18" spans="1:10" ht="126.75" thickBot="1">
      <c r="A18" s="303"/>
      <c r="B18" s="416"/>
      <c r="C18" s="416"/>
      <c r="D18" s="416"/>
      <c r="E18" s="416"/>
      <c r="F18" s="157" t="s">
        <v>1084</v>
      </c>
      <c r="G18" s="127" t="s">
        <v>1085</v>
      </c>
      <c r="H18" s="416"/>
      <c r="I18" s="416"/>
      <c r="J18" s="416"/>
    </row>
    <row r="19" spans="1:10" ht="32.25" thickBot="1">
      <c r="A19" s="303"/>
      <c r="B19" s="415" t="s">
        <v>1086</v>
      </c>
      <c r="C19" s="415" t="s">
        <v>1087</v>
      </c>
      <c r="D19" s="417" t="s">
        <v>59</v>
      </c>
      <c r="E19" s="415" t="s">
        <v>40</v>
      </c>
      <c r="F19" s="94">
        <v>20</v>
      </c>
      <c r="G19" s="125" t="s">
        <v>60</v>
      </c>
      <c r="H19" s="417" t="s">
        <v>1088</v>
      </c>
      <c r="I19" s="417" t="s">
        <v>124</v>
      </c>
      <c r="J19" s="417" t="s">
        <v>1083</v>
      </c>
    </row>
    <row r="20" spans="1:10" ht="16.5" thickBot="1">
      <c r="A20" s="303"/>
      <c r="B20" s="299"/>
      <c r="C20" s="299"/>
      <c r="D20" s="299"/>
      <c r="E20" s="299"/>
      <c r="F20" s="418" t="s">
        <v>45</v>
      </c>
      <c r="G20" s="292"/>
      <c r="H20" s="299"/>
      <c r="I20" s="299"/>
      <c r="J20" s="299"/>
    </row>
    <row r="21" spans="1:10" ht="48" thickBot="1">
      <c r="A21" s="303"/>
      <c r="B21" s="416"/>
      <c r="C21" s="416"/>
      <c r="D21" s="416"/>
      <c r="E21" s="416"/>
      <c r="F21" s="126">
        <v>3</v>
      </c>
      <c r="G21" s="127" t="s">
        <v>64</v>
      </c>
      <c r="H21" s="416"/>
      <c r="I21" s="416"/>
      <c r="J21" s="416"/>
    </row>
    <row r="22" spans="1:10" ht="32.25" thickBot="1">
      <c r="A22" s="303"/>
      <c r="B22" s="415" t="s">
        <v>1089</v>
      </c>
      <c r="C22" s="415" t="s">
        <v>1090</v>
      </c>
      <c r="D22" s="417" t="s">
        <v>59</v>
      </c>
      <c r="E22" s="415" t="s">
        <v>40</v>
      </c>
      <c r="F22" s="94">
        <v>80</v>
      </c>
      <c r="G22" s="125" t="s">
        <v>60</v>
      </c>
      <c r="H22" s="417" t="s">
        <v>1088</v>
      </c>
      <c r="I22" s="417" t="s">
        <v>124</v>
      </c>
      <c r="J22" s="417" t="s">
        <v>1083</v>
      </c>
    </row>
    <row r="23" spans="1:10" ht="16.5" thickBot="1">
      <c r="A23" s="303"/>
      <c r="B23" s="299"/>
      <c r="C23" s="299"/>
      <c r="D23" s="299"/>
      <c r="E23" s="299"/>
      <c r="F23" s="418" t="s">
        <v>45</v>
      </c>
      <c r="G23" s="292"/>
      <c r="H23" s="299"/>
      <c r="I23" s="299"/>
      <c r="J23" s="299"/>
    </row>
    <row r="24" spans="1:10" ht="48" thickBot="1">
      <c r="A24" s="303"/>
      <c r="B24" s="416"/>
      <c r="C24" s="416"/>
      <c r="D24" s="416"/>
      <c r="E24" s="416"/>
      <c r="F24" s="126">
        <v>5</v>
      </c>
      <c r="G24" s="127" t="s">
        <v>64</v>
      </c>
      <c r="H24" s="416"/>
      <c r="I24" s="416"/>
      <c r="J24" s="416"/>
    </row>
    <row r="25" spans="1:10" ht="32.25" thickBot="1">
      <c r="A25" s="419" t="s">
        <v>80</v>
      </c>
      <c r="B25" s="415" t="s">
        <v>1091</v>
      </c>
      <c r="C25" s="415" t="s">
        <v>1092</v>
      </c>
      <c r="D25" s="417" t="s">
        <v>59</v>
      </c>
      <c r="E25" s="415" t="s">
        <v>40</v>
      </c>
      <c r="F25" s="141">
        <v>450</v>
      </c>
      <c r="G25" s="142" t="s">
        <v>154</v>
      </c>
      <c r="H25" s="415" t="s">
        <v>1093</v>
      </c>
      <c r="I25" s="417" t="s">
        <v>59</v>
      </c>
      <c r="J25" s="417" t="s">
        <v>1094</v>
      </c>
    </row>
    <row r="26" spans="1:10" ht="16.5" thickBot="1">
      <c r="A26" s="299"/>
      <c r="B26" s="299"/>
      <c r="C26" s="299"/>
      <c r="D26" s="299"/>
      <c r="E26" s="299"/>
      <c r="F26" s="414" t="s">
        <v>45</v>
      </c>
      <c r="G26" s="292"/>
      <c r="H26" s="299"/>
      <c r="I26" s="299"/>
      <c r="J26" s="299"/>
    </row>
    <row r="27" spans="1:10" ht="16.5" thickBot="1">
      <c r="A27" s="299"/>
      <c r="B27" s="416"/>
      <c r="C27" s="416"/>
      <c r="D27" s="416"/>
      <c r="E27" s="416"/>
      <c r="F27" s="143">
        <v>30</v>
      </c>
      <c r="G27" s="142" t="s">
        <v>45</v>
      </c>
      <c r="H27" s="416"/>
      <c r="I27" s="416"/>
      <c r="J27" s="416"/>
    </row>
    <row r="28" spans="1:10" ht="32.25" thickBot="1">
      <c r="A28" s="299"/>
      <c r="B28" s="415" t="s">
        <v>1095</v>
      </c>
      <c r="C28" s="415" t="s">
        <v>1096</v>
      </c>
      <c r="D28" s="417" t="s">
        <v>59</v>
      </c>
      <c r="E28" s="415" t="s">
        <v>40</v>
      </c>
      <c r="F28" s="141">
        <v>2700</v>
      </c>
      <c r="G28" s="142" t="s">
        <v>158</v>
      </c>
      <c r="H28" s="415" t="s">
        <v>1097</v>
      </c>
      <c r="I28" s="417" t="s">
        <v>59</v>
      </c>
      <c r="J28" s="417" t="s">
        <v>1074</v>
      </c>
    </row>
    <row r="29" spans="1:10" ht="42" customHeight="1" thickBot="1">
      <c r="A29" s="299"/>
      <c r="B29" s="299"/>
      <c r="C29" s="299"/>
      <c r="D29" s="299"/>
      <c r="E29" s="299"/>
      <c r="F29" s="414" t="s">
        <v>45</v>
      </c>
      <c r="G29" s="292"/>
      <c r="H29" s="299"/>
      <c r="I29" s="299"/>
      <c r="J29" s="299"/>
    </row>
    <row r="30" spans="1:10" ht="41.1" customHeight="1" thickBot="1">
      <c r="A30" s="299"/>
      <c r="B30" s="416"/>
      <c r="C30" s="416"/>
      <c r="D30" s="416"/>
      <c r="E30" s="416"/>
      <c r="F30" s="143">
        <v>120</v>
      </c>
      <c r="G30" s="142" t="s">
        <v>45</v>
      </c>
      <c r="H30" s="416"/>
      <c r="I30" s="416"/>
      <c r="J30" s="416"/>
    </row>
    <row r="31" spans="1:10" ht="16.5" thickBot="1">
      <c r="A31" s="299"/>
      <c r="B31" s="415" t="s">
        <v>1098</v>
      </c>
      <c r="C31" s="415" t="s">
        <v>281</v>
      </c>
      <c r="D31" s="417" t="s">
        <v>59</v>
      </c>
      <c r="E31" s="415" t="s">
        <v>40</v>
      </c>
      <c r="F31" s="141">
        <v>50</v>
      </c>
      <c r="G31" s="147" t="s">
        <v>162</v>
      </c>
      <c r="H31" s="415" t="s">
        <v>1099</v>
      </c>
      <c r="I31" s="417" t="s">
        <v>59</v>
      </c>
      <c r="J31" s="417" t="s">
        <v>1094</v>
      </c>
    </row>
    <row r="32" spans="1:10" ht="16.5" thickBot="1">
      <c r="A32" s="299"/>
      <c r="B32" s="299"/>
      <c r="C32" s="299"/>
      <c r="D32" s="299"/>
      <c r="E32" s="299"/>
      <c r="F32" s="414">
        <v>60</v>
      </c>
      <c r="G32" s="292"/>
      <c r="H32" s="299"/>
      <c r="I32" s="299"/>
      <c r="J32" s="299"/>
    </row>
    <row r="33" spans="1:10" ht="72.95" customHeight="1" thickBot="1">
      <c r="A33" s="416"/>
      <c r="B33" s="416"/>
      <c r="C33" s="416"/>
      <c r="D33" s="416"/>
      <c r="E33" s="416"/>
      <c r="F33" s="143">
        <v>3</v>
      </c>
      <c r="G33" s="147" t="s">
        <v>45</v>
      </c>
      <c r="H33" s="416"/>
      <c r="I33" s="416"/>
      <c r="J33" s="416"/>
    </row>
  </sheetData>
  <mergeCells count="94">
    <mergeCell ref="A1:B2"/>
    <mergeCell ref="C1:G2"/>
    <mergeCell ref="I1:J1"/>
    <mergeCell ref="I2:J2"/>
    <mergeCell ref="A3:D3"/>
    <mergeCell ref="E3:G3"/>
    <mergeCell ref="H3:J3"/>
    <mergeCell ref="B4:C4"/>
    <mergeCell ref="F4:G4"/>
    <mergeCell ref="A5:B5"/>
    <mergeCell ref="C5:E5"/>
    <mergeCell ref="F5:G6"/>
    <mergeCell ref="I5:I6"/>
    <mergeCell ref="J5:J6"/>
    <mergeCell ref="A7:B7"/>
    <mergeCell ref="C7:E7"/>
    <mergeCell ref="F7:H7"/>
    <mergeCell ref="I7:J7"/>
    <mergeCell ref="H5:H6"/>
    <mergeCell ref="J8:J9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A8:A9"/>
    <mergeCell ref="B8:B9"/>
    <mergeCell ref="C8:E8"/>
    <mergeCell ref="F8:G9"/>
    <mergeCell ref="H8:H9"/>
    <mergeCell ref="I8:I9"/>
    <mergeCell ref="I13:I15"/>
    <mergeCell ref="J13:J15"/>
    <mergeCell ref="F14:G14"/>
    <mergeCell ref="A16:A24"/>
    <mergeCell ref="B16:B18"/>
    <mergeCell ref="C16:C18"/>
    <mergeCell ref="D16:D18"/>
    <mergeCell ref="E16:E18"/>
    <mergeCell ref="H16:H18"/>
    <mergeCell ref="I16:I18"/>
    <mergeCell ref="A13:A15"/>
    <mergeCell ref="B13:B15"/>
    <mergeCell ref="C13:C15"/>
    <mergeCell ref="D13:D15"/>
    <mergeCell ref="E13:E15"/>
    <mergeCell ref="H13:H15"/>
    <mergeCell ref="J16:J18"/>
    <mergeCell ref="F17:G17"/>
    <mergeCell ref="B19:B21"/>
    <mergeCell ref="C19:C21"/>
    <mergeCell ref="D19:D21"/>
    <mergeCell ref="E19:E21"/>
    <mergeCell ref="H19:H21"/>
    <mergeCell ref="I19:I21"/>
    <mergeCell ref="J19:J21"/>
    <mergeCell ref="F20:G20"/>
    <mergeCell ref="J22:J24"/>
    <mergeCell ref="F23:G23"/>
    <mergeCell ref="A25:A33"/>
    <mergeCell ref="B25:B27"/>
    <mergeCell ref="C25:C27"/>
    <mergeCell ref="D25:D27"/>
    <mergeCell ref="E25:E27"/>
    <mergeCell ref="H25:H27"/>
    <mergeCell ref="I25:I27"/>
    <mergeCell ref="J25:J27"/>
    <mergeCell ref="B22:B24"/>
    <mergeCell ref="C22:C24"/>
    <mergeCell ref="D22:D24"/>
    <mergeCell ref="E22:E24"/>
    <mergeCell ref="H22:H24"/>
    <mergeCell ref="I22:I24"/>
    <mergeCell ref="F26:G26"/>
    <mergeCell ref="B28:B30"/>
    <mergeCell ref="C28:C30"/>
    <mergeCell ref="D28:D30"/>
    <mergeCell ref="E28:E30"/>
    <mergeCell ref="F32:G32"/>
    <mergeCell ref="I28:I30"/>
    <mergeCell ref="J28:J30"/>
    <mergeCell ref="F29:G29"/>
    <mergeCell ref="B31:B33"/>
    <mergeCell ref="C31:C33"/>
    <mergeCell ref="D31:D33"/>
    <mergeCell ref="E31:E33"/>
    <mergeCell ref="H31:H33"/>
    <mergeCell ref="I31:I33"/>
    <mergeCell ref="J31:J33"/>
    <mergeCell ref="H28:H30"/>
  </mergeCells>
  <conditionalFormatting sqref="F15">
    <cfRule type="cellIs" dxfId="161" priority="3" operator="greaterThan">
      <formula>$F$13</formula>
    </cfRule>
    <cfRule type="cellIs" dxfId="160" priority="4" operator="lessThan">
      <formula>$F$13</formula>
    </cfRule>
    <cfRule type="cellIs" dxfId="159" priority="5" operator="lessThan">
      <formula>$F$16</formula>
    </cfRule>
    <cfRule type="cellIs" dxfId="158" priority="6" operator="greaterThanOrEqual">
      <formula>$F$16</formula>
    </cfRule>
  </conditionalFormatting>
  <conditionalFormatting sqref="F21 F24">
    <cfRule type="cellIs" dxfId="157" priority="7" operator="lessThan">
      <formula>70</formula>
    </cfRule>
    <cfRule type="cellIs" dxfId="156" priority="8" operator="greaterThanOrEqual">
      <formula>80</formula>
    </cfRule>
  </conditionalFormatting>
  <conditionalFormatting sqref="F27">
    <cfRule type="cellIs" dxfId="155" priority="9" operator="lessThan">
      <formula>800</formula>
    </cfRule>
    <cfRule type="cellIs" dxfId="154" priority="10" operator="greaterThanOrEqual">
      <formula>801</formula>
    </cfRule>
  </conditionalFormatting>
  <conditionalFormatting sqref="F30">
    <cfRule type="cellIs" dxfId="153" priority="11" operator="lessThan">
      <formula>2000</formula>
    </cfRule>
    <cfRule type="cellIs" dxfId="152" priority="12" operator="greaterThanOrEqual">
      <formula>2000</formula>
    </cfRule>
  </conditionalFormatting>
  <conditionalFormatting sqref="F33">
    <cfRule type="cellIs" dxfId="151" priority="13" operator="lessThan">
      <formula>100</formula>
    </cfRule>
    <cfRule type="cellIs" dxfId="150" priority="14" operator="greaterThanOrEqual">
      <formula>100</formula>
    </cfRule>
  </conditionalFormatting>
  <conditionalFormatting sqref="J4">
    <cfRule type="cellIs" dxfId="149" priority="1" operator="lessThan">
      <formula>$H$4</formula>
    </cfRule>
    <cfRule type="cellIs" dxfId="148" priority="2" operator="greaterThan">
      <formula>$H$4</formula>
    </cfRule>
  </conditionalFormatting>
  <pageMargins left="0.7" right="0.7" top="0.75" bottom="0.75" header="0.3" footer="0.3"/>
  <pageSetup scale="28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3F23-F4F6-2343-BBCA-B7FA978E6D6E}">
  <sheetPr codeName="Hoja18">
    <tabColor rgb="FF385623"/>
  </sheetPr>
  <dimension ref="A1:Z1003"/>
  <sheetViews>
    <sheetView topLeftCell="F1" zoomScaleNormal="100" workbookViewId="0">
      <selection activeCell="H3" sqref="H3:J3"/>
    </sheetView>
  </sheetViews>
  <sheetFormatPr baseColWidth="10" defaultColWidth="11.125" defaultRowHeight="15" customHeight="1"/>
  <cols>
    <col min="1" max="1" width="26.375" style="81" customWidth="1"/>
    <col min="2" max="2" width="27.625" style="81" customWidth="1"/>
    <col min="3" max="3" width="31.375" style="81" customWidth="1"/>
    <col min="4" max="4" width="27.875" style="81" customWidth="1"/>
    <col min="5" max="5" width="44.625" style="81" customWidth="1"/>
    <col min="6" max="6" width="19.375" style="81" customWidth="1"/>
    <col min="7" max="7" width="31" style="81" customWidth="1"/>
    <col min="8" max="8" width="26" style="81" customWidth="1"/>
    <col min="9" max="9" width="32.125" style="81" customWidth="1"/>
    <col min="10" max="10" width="30.375" style="81" customWidth="1"/>
    <col min="11" max="26" width="10.5" style="81" customWidth="1"/>
    <col min="27" max="16384" width="11.125" style="81"/>
  </cols>
  <sheetData>
    <row r="1" spans="1:26" ht="102.75" customHeight="1" thickBot="1">
      <c r="A1" s="266" t="e" vm="1">
        <v>#VALUE!</v>
      </c>
      <c r="B1" s="267"/>
      <c r="C1" s="390" t="s">
        <v>347</v>
      </c>
      <c r="D1" s="391"/>
      <c r="E1" s="391"/>
      <c r="F1" s="391"/>
      <c r="G1" s="392"/>
      <c r="H1" s="83" t="s">
        <v>167</v>
      </c>
      <c r="I1" s="397" t="s">
        <v>574</v>
      </c>
      <c r="J1" s="398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102.75" customHeight="1" thickBot="1">
      <c r="A2" s="268"/>
      <c r="B2" s="269"/>
      <c r="C2" s="393"/>
      <c r="D2" s="394"/>
      <c r="E2" s="394"/>
      <c r="F2" s="395"/>
      <c r="G2" s="396"/>
      <c r="H2" s="83" t="s">
        <v>169</v>
      </c>
      <c r="I2" s="399">
        <v>45671</v>
      </c>
      <c r="J2" s="398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33" customHeight="1" thickBot="1">
      <c r="A3" s="402" t="s">
        <v>988</v>
      </c>
      <c r="B3" s="403"/>
      <c r="C3" s="403"/>
      <c r="D3" s="403"/>
      <c r="E3" s="404"/>
      <c r="F3" s="400" t="s">
        <v>986</v>
      </c>
      <c r="G3" s="401"/>
      <c r="H3" s="215" t="s">
        <v>1114</v>
      </c>
      <c r="I3" s="216"/>
      <c r="J3" s="217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33" customHeight="1" thickBot="1">
      <c r="A4" s="409" t="s">
        <v>8</v>
      </c>
      <c r="B4" s="409"/>
      <c r="C4" s="410"/>
      <c r="D4" s="407">
        <v>2026</v>
      </c>
      <c r="E4" s="408"/>
      <c r="F4" s="405" t="s">
        <v>10</v>
      </c>
      <c r="G4" s="166"/>
      <c r="H4" s="99">
        <v>29000000</v>
      </c>
      <c r="I4" s="84" t="s">
        <v>11</v>
      </c>
      <c r="J4" s="85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33" customHeight="1" thickBot="1">
      <c r="A5" s="402" t="s">
        <v>12</v>
      </c>
      <c r="B5" s="406"/>
      <c r="C5" s="411" t="s">
        <v>576</v>
      </c>
      <c r="D5" s="412"/>
      <c r="E5" s="412"/>
      <c r="F5" s="412"/>
      <c r="G5" s="412"/>
      <c r="H5" s="412"/>
      <c r="I5" s="412"/>
      <c r="J5" s="413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22.75" customHeight="1" thickBot="1">
      <c r="A6" s="86" t="s">
        <v>18</v>
      </c>
      <c r="B6" s="87" t="s">
        <v>19</v>
      </c>
      <c r="C6" s="100" t="s">
        <v>577</v>
      </c>
      <c r="D6" s="101" t="s">
        <v>21</v>
      </c>
      <c r="E6" s="100" t="s">
        <v>1042</v>
      </c>
      <c r="F6" s="389" t="s">
        <v>14</v>
      </c>
      <c r="G6" s="167"/>
      <c r="H6" s="100" t="s">
        <v>1041</v>
      </c>
      <c r="I6" s="101" t="s">
        <v>16</v>
      </c>
      <c r="J6" s="100" t="s">
        <v>1040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33" customHeight="1" thickBot="1">
      <c r="A7" s="187" t="s">
        <v>23</v>
      </c>
      <c r="B7" s="172"/>
      <c r="C7" s="188" t="s">
        <v>987</v>
      </c>
      <c r="D7" s="192"/>
      <c r="E7" s="172"/>
      <c r="F7" s="193" t="s">
        <v>24</v>
      </c>
      <c r="G7" s="194"/>
      <c r="H7" s="195"/>
      <c r="I7" s="188" t="s">
        <v>578</v>
      </c>
      <c r="J7" s="172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15.75" customHeight="1" thickBot="1">
      <c r="A8" s="196" t="s">
        <v>26</v>
      </c>
      <c r="B8" s="197" t="s">
        <v>27</v>
      </c>
      <c r="C8" s="199" t="s">
        <v>28</v>
      </c>
      <c r="D8" s="192"/>
      <c r="E8" s="172"/>
      <c r="F8" s="200" t="s">
        <v>29</v>
      </c>
      <c r="G8" s="201"/>
      <c r="H8" s="191" t="s">
        <v>30</v>
      </c>
      <c r="I8" s="189" t="s">
        <v>31</v>
      </c>
      <c r="J8" s="191" t="s">
        <v>32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.75" customHeight="1" thickBot="1">
      <c r="A9" s="170"/>
      <c r="B9" s="198"/>
      <c r="C9" s="88" t="s">
        <v>33</v>
      </c>
      <c r="D9" s="89" t="s">
        <v>34</v>
      </c>
      <c r="E9" s="90" t="s">
        <v>35</v>
      </c>
      <c r="F9" s="202"/>
      <c r="G9" s="203"/>
      <c r="H9" s="170"/>
      <c r="I9" s="190"/>
      <c r="J9" s="17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92.1" customHeight="1" thickBot="1">
      <c r="A10" s="186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1039</v>
      </c>
      <c r="G10" s="91" t="s">
        <v>1037</v>
      </c>
      <c r="H10" s="168" t="s">
        <v>581</v>
      </c>
      <c r="I10" s="168" t="s">
        <v>1035</v>
      </c>
      <c r="J10" s="168" t="s">
        <v>582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34.5" customHeight="1" thickBot="1">
      <c r="A11" s="169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26" customHeight="1" thickBot="1">
      <c r="A12" s="170"/>
      <c r="B12" s="170"/>
      <c r="C12" s="178"/>
      <c r="D12" s="170"/>
      <c r="E12" s="170"/>
      <c r="F12" s="91"/>
      <c r="G12" s="92" t="s">
        <v>1038</v>
      </c>
      <c r="H12" s="170"/>
      <c r="I12" s="170"/>
      <c r="J12" s="17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60" customHeight="1" thickBot="1">
      <c r="A13" s="179" t="s">
        <v>47</v>
      </c>
      <c r="B13" s="180" t="s">
        <v>583</v>
      </c>
      <c r="C13" s="168" t="s">
        <v>584</v>
      </c>
      <c r="D13" s="168" t="s">
        <v>585</v>
      </c>
      <c r="E13" s="168" t="s">
        <v>40</v>
      </c>
      <c r="F13" s="91">
        <v>36.299999999999997</v>
      </c>
      <c r="G13" s="93" t="s">
        <v>586</v>
      </c>
      <c r="H13" s="168" t="s">
        <v>587</v>
      </c>
      <c r="I13" s="168" t="s">
        <v>588</v>
      </c>
      <c r="J13" s="168" t="s">
        <v>582</v>
      </c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39" customHeight="1" thickBot="1">
      <c r="A14" s="169"/>
      <c r="B14" s="169"/>
      <c r="C14" s="169"/>
      <c r="D14" s="169"/>
      <c r="E14" s="169"/>
      <c r="F14" s="173" t="s">
        <v>45</v>
      </c>
      <c r="G14" s="174"/>
      <c r="H14" s="169"/>
      <c r="I14" s="169"/>
      <c r="J14" s="169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0.5" customHeight="1" thickBot="1">
      <c r="A15" s="170"/>
      <c r="B15" s="170"/>
      <c r="C15" s="170"/>
      <c r="D15" s="170"/>
      <c r="E15" s="170"/>
      <c r="F15" s="94"/>
      <c r="G15" s="95" t="s">
        <v>589</v>
      </c>
      <c r="H15" s="170"/>
      <c r="I15" s="170"/>
      <c r="J15" s="17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48.75" customHeight="1" thickBot="1">
      <c r="A16" s="162" t="s">
        <v>1053</v>
      </c>
      <c r="B16" s="168" t="s">
        <v>590</v>
      </c>
      <c r="C16" s="168" t="s">
        <v>1026</v>
      </c>
      <c r="D16" s="168" t="s">
        <v>1027</v>
      </c>
      <c r="E16" s="168" t="s">
        <v>1028</v>
      </c>
      <c r="F16" s="96" t="s">
        <v>1031</v>
      </c>
      <c r="G16" s="93" t="s">
        <v>1030</v>
      </c>
      <c r="H16" s="168" t="s">
        <v>1043</v>
      </c>
      <c r="I16" s="168" t="s">
        <v>1044</v>
      </c>
      <c r="J16" s="168" t="s">
        <v>582</v>
      </c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30.75" customHeight="1" thickBot="1">
      <c r="A17" s="163"/>
      <c r="B17" s="169"/>
      <c r="C17" s="169"/>
      <c r="D17" s="169"/>
      <c r="E17" s="169"/>
      <c r="F17" s="173" t="s">
        <v>45</v>
      </c>
      <c r="G17" s="174"/>
      <c r="H17" s="169"/>
      <c r="I17" s="169"/>
      <c r="J17" s="169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108" customHeight="1" thickBot="1">
      <c r="A18" s="163"/>
      <c r="B18" s="170"/>
      <c r="C18" s="170"/>
      <c r="D18" s="170"/>
      <c r="E18" s="170"/>
      <c r="F18" s="94"/>
      <c r="G18" s="95" t="s">
        <v>1032</v>
      </c>
      <c r="H18" s="170"/>
      <c r="I18" s="170"/>
      <c r="J18" s="17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17.75" customHeight="1" thickBot="1">
      <c r="A19" s="163"/>
      <c r="B19" s="168" t="s">
        <v>591</v>
      </c>
      <c r="C19" s="168" t="s">
        <v>1022</v>
      </c>
      <c r="D19" s="168" t="s">
        <v>1045</v>
      </c>
      <c r="E19" s="168" t="s">
        <v>40</v>
      </c>
      <c r="F19" s="96">
        <v>40</v>
      </c>
      <c r="G19" s="93" t="s">
        <v>1021</v>
      </c>
      <c r="H19" s="168" t="s">
        <v>1025</v>
      </c>
      <c r="I19" s="168" t="s">
        <v>1046</v>
      </c>
      <c r="J19" s="168" t="s">
        <v>582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54.75" customHeight="1" thickBot="1">
      <c r="A20" s="163"/>
      <c r="B20" s="169"/>
      <c r="C20" s="169"/>
      <c r="D20" s="169"/>
      <c r="E20" s="169"/>
      <c r="F20" s="173" t="s">
        <v>45</v>
      </c>
      <c r="G20" s="174"/>
      <c r="H20" s="169"/>
      <c r="I20" s="169"/>
      <c r="J20" s="169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72.75" customHeight="1" thickBot="1">
      <c r="A21" s="163"/>
      <c r="B21" s="170"/>
      <c r="C21" s="170"/>
      <c r="D21" s="170"/>
      <c r="E21" s="170"/>
      <c r="F21" s="94"/>
      <c r="G21" s="95" t="s">
        <v>1023</v>
      </c>
      <c r="H21" s="170"/>
      <c r="I21" s="170"/>
      <c r="J21" s="17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73.5" customHeight="1" thickBot="1">
      <c r="A22" s="163"/>
      <c r="B22" s="168" t="s">
        <v>594</v>
      </c>
      <c r="C22" s="168" t="s">
        <v>1015</v>
      </c>
      <c r="D22" s="168" t="s">
        <v>1014</v>
      </c>
      <c r="E22" s="168" t="s">
        <v>40</v>
      </c>
      <c r="F22" s="102">
        <v>0.08</v>
      </c>
      <c r="G22" s="93" t="s">
        <v>1016</v>
      </c>
      <c r="H22" s="168" t="s">
        <v>1018</v>
      </c>
      <c r="I22" s="168" t="s">
        <v>1019</v>
      </c>
      <c r="J22" s="168" t="s">
        <v>597</v>
      </c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51.75" customHeight="1" thickBot="1">
      <c r="A23" s="163"/>
      <c r="B23" s="169"/>
      <c r="C23" s="169"/>
      <c r="D23" s="169"/>
      <c r="E23" s="169"/>
      <c r="F23" s="173" t="s">
        <v>45</v>
      </c>
      <c r="G23" s="174"/>
      <c r="H23" s="169"/>
      <c r="I23" s="169"/>
      <c r="J23" s="169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57" customHeight="1" thickBot="1">
      <c r="A24" s="164"/>
      <c r="B24" s="185"/>
      <c r="C24" s="170"/>
      <c r="D24" s="170"/>
      <c r="E24" s="170"/>
      <c r="F24" s="94"/>
      <c r="G24" s="95" t="s">
        <v>1017</v>
      </c>
      <c r="H24" s="170"/>
      <c r="I24" s="170"/>
      <c r="J24" s="17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70.5" customHeight="1" thickBot="1">
      <c r="A25" s="162" t="s">
        <v>989</v>
      </c>
      <c r="B25" s="175" t="s">
        <v>1002</v>
      </c>
      <c r="C25" s="381" t="s">
        <v>1003</v>
      </c>
      <c r="D25" s="168" t="s">
        <v>982</v>
      </c>
      <c r="E25" s="168" t="s">
        <v>40</v>
      </c>
      <c r="F25" s="91">
        <v>600</v>
      </c>
      <c r="G25" s="92" t="s">
        <v>1004</v>
      </c>
      <c r="H25" s="168" t="s">
        <v>1047</v>
      </c>
      <c r="I25" s="377" t="s">
        <v>1048</v>
      </c>
      <c r="J25" s="168" t="s">
        <v>597</v>
      </c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36" customHeight="1" thickBot="1">
      <c r="A26" s="163"/>
      <c r="B26" s="163"/>
      <c r="C26" s="183"/>
      <c r="D26" s="169"/>
      <c r="E26" s="169"/>
      <c r="F26" s="171" t="s">
        <v>45</v>
      </c>
      <c r="G26" s="172"/>
      <c r="H26" s="169"/>
      <c r="I26" s="169"/>
      <c r="J26" s="169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55.5" customHeight="1" thickBot="1">
      <c r="A27" s="163"/>
      <c r="B27" s="164"/>
      <c r="C27" s="183"/>
      <c r="D27" s="185"/>
      <c r="E27" s="185"/>
      <c r="F27" s="94"/>
      <c r="G27" s="92" t="s">
        <v>1005</v>
      </c>
      <c r="H27" s="185"/>
      <c r="I27" s="170"/>
      <c r="J27" s="17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55.5" customHeight="1" thickBot="1">
      <c r="A28" s="163"/>
      <c r="B28" s="385" t="s">
        <v>1006</v>
      </c>
      <c r="C28" s="385" t="s">
        <v>1007</v>
      </c>
      <c r="D28" s="175" t="s">
        <v>982</v>
      </c>
      <c r="E28" s="165" t="s">
        <v>40</v>
      </c>
      <c r="F28" s="91">
        <v>50</v>
      </c>
      <c r="G28" s="93" t="s">
        <v>1008</v>
      </c>
      <c r="H28" s="175" t="s">
        <v>1012</v>
      </c>
      <c r="I28" s="377" t="s">
        <v>1013</v>
      </c>
      <c r="J28" s="168" t="s">
        <v>1000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5.5" customHeight="1" thickBot="1">
      <c r="A29" s="163"/>
      <c r="B29" s="386"/>
      <c r="C29" s="386"/>
      <c r="D29" s="163"/>
      <c r="E29" s="166"/>
      <c r="F29" s="171" t="s">
        <v>45</v>
      </c>
      <c r="G29" s="388"/>
      <c r="H29" s="163"/>
      <c r="I29" s="169"/>
      <c r="J29" s="169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55.5" customHeight="1" thickBot="1">
      <c r="A30" s="163"/>
      <c r="B30" s="387"/>
      <c r="C30" s="387"/>
      <c r="D30" s="164"/>
      <c r="E30" s="166"/>
      <c r="F30" s="107"/>
      <c r="G30" s="93" t="s">
        <v>1009</v>
      </c>
      <c r="H30" s="164"/>
      <c r="I30" s="170"/>
      <c r="J30" s="17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99" customHeight="1" thickBot="1">
      <c r="A31" s="163"/>
      <c r="B31" s="383" t="s">
        <v>994</v>
      </c>
      <c r="C31" s="384" t="s">
        <v>595</v>
      </c>
      <c r="D31" s="377" t="s">
        <v>982</v>
      </c>
      <c r="E31" s="168" t="s">
        <v>40</v>
      </c>
      <c r="F31" s="91">
        <v>1000</v>
      </c>
      <c r="G31" s="92" t="s">
        <v>596</v>
      </c>
      <c r="H31" s="377" t="s">
        <v>1049</v>
      </c>
      <c r="I31" s="377" t="s">
        <v>1050</v>
      </c>
      <c r="J31" s="168" t="s">
        <v>1000</v>
      </c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36" customHeight="1" thickBot="1">
      <c r="A32" s="163"/>
      <c r="B32" s="166"/>
      <c r="C32" s="177"/>
      <c r="D32" s="169"/>
      <c r="E32" s="169"/>
      <c r="F32" s="173" t="s">
        <v>45</v>
      </c>
      <c r="G32" s="172"/>
      <c r="H32" s="169"/>
      <c r="I32" s="169"/>
      <c r="J32" s="169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93" customHeight="1" thickBot="1">
      <c r="A33" s="163"/>
      <c r="B33" s="166"/>
      <c r="C33" s="178"/>
      <c r="D33" s="170"/>
      <c r="E33" s="185"/>
      <c r="F33" s="94"/>
      <c r="G33" s="92" t="s">
        <v>598</v>
      </c>
      <c r="H33" s="170"/>
      <c r="I33" s="170"/>
      <c r="J33" s="17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72" customHeight="1" thickBot="1">
      <c r="A34" s="163"/>
      <c r="B34" s="165" t="s">
        <v>995</v>
      </c>
      <c r="C34" s="176" t="s">
        <v>996</v>
      </c>
      <c r="D34" s="168" t="s">
        <v>982</v>
      </c>
      <c r="E34" s="168" t="s">
        <v>40</v>
      </c>
      <c r="F34" s="91">
        <v>105</v>
      </c>
      <c r="G34" s="92" t="s">
        <v>997</v>
      </c>
      <c r="H34" s="168" t="s">
        <v>1051</v>
      </c>
      <c r="I34" s="168" t="s">
        <v>1001</v>
      </c>
      <c r="J34" s="168" t="s">
        <v>1000</v>
      </c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72" customHeight="1" thickBot="1">
      <c r="A35" s="163"/>
      <c r="B35" s="166"/>
      <c r="C35" s="177"/>
      <c r="D35" s="169"/>
      <c r="E35" s="169"/>
      <c r="F35" s="171" t="s">
        <v>45</v>
      </c>
      <c r="G35" s="172"/>
      <c r="H35" s="169"/>
      <c r="I35" s="169"/>
      <c r="J35" s="169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72" customHeight="1" thickBot="1">
      <c r="A36" s="163"/>
      <c r="B36" s="166"/>
      <c r="C36" s="178"/>
      <c r="D36" s="170"/>
      <c r="E36" s="170"/>
      <c r="F36" s="97"/>
      <c r="G36" s="92" t="s">
        <v>998</v>
      </c>
      <c r="H36" s="170"/>
      <c r="I36" s="170"/>
      <c r="J36" s="17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72" customHeight="1" thickBot="1">
      <c r="A37" s="163"/>
      <c r="B37" s="378" t="s">
        <v>981</v>
      </c>
      <c r="C37" s="381" t="s">
        <v>993</v>
      </c>
      <c r="D37" s="168" t="s">
        <v>982</v>
      </c>
      <c r="E37" s="168" t="s">
        <v>40</v>
      </c>
      <c r="F37" s="91">
        <v>1000</v>
      </c>
      <c r="G37" s="92" t="s">
        <v>992</v>
      </c>
      <c r="H37" s="168" t="s">
        <v>1052</v>
      </c>
      <c r="I37" s="168" t="s">
        <v>984</v>
      </c>
      <c r="J37" s="168" t="s">
        <v>985</v>
      </c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72" customHeight="1" thickBot="1">
      <c r="A38" s="163"/>
      <c r="B38" s="379"/>
      <c r="C38" s="183"/>
      <c r="D38" s="169"/>
      <c r="E38" s="169"/>
      <c r="F38" s="171" t="s">
        <v>45</v>
      </c>
      <c r="G38" s="172"/>
      <c r="H38" s="169"/>
      <c r="I38" s="169"/>
      <c r="J38" s="169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72" customHeight="1" thickBot="1">
      <c r="A39" s="164"/>
      <c r="B39" s="380"/>
      <c r="C39" s="382"/>
      <c r="D39" s="170"/>
      <c r="E39" s="170"/>
      <c r="F39" s="97"/>
      <c r="G39" s="92" t="s">
        <v>991</v>
      </c>
      <c r="H39" s="170"/>
      <c r="I39" s="170"/>
      <c r="J39" s="17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15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15.7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15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2" t="s">
        <v>983</v>
      </c>
    </row>
    <row r="43" spans="1:26" ht="15.7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 t="str">
        <f>UPPER(Z42)</f>
        <v>COMPROBAR QUE LOS ESTUDIANTES BENEFICIADOS REALMENTE UTILIZAN EL TRANSPORTE PÚBLICO EN EL MUNICIPIO Y CUMPLEN CON LOS REQUISITOS DE ELEGIBILIDAD ESTABLECIDOS POR EL AYUNTAMIENTO.</v>
      </c>
    </row>
    <row r="44" spans="1:26" ht="15.7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15.7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15.7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15.7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15.7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15.7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15.7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15.7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15.7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15.7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15.7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15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15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15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15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15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15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15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15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15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15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15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15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15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15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15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15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15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5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15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15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15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5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15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15.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15.7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15.7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15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15.7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15.75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15.75" customHeight="1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15.75" customHeight="1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15.75" customHeight="1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15.75" customHeight="1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15.7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15.7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15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15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15.75" customHeight="1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15.75" customHeight="1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15.75" customHeight="1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15.75" customHeight="1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15.75" customHeight="1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15.75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15.75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15.75" customHeight="1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15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15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15.75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15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15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15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15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15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15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15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15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15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15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15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15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15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15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15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15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15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15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15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15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15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15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15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15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15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15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15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15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15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15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15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15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15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15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15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15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15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15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15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15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15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15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15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15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15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15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15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15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15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15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15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15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15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15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15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15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15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15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15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15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15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15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15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15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15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15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15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15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15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15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15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15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15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15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15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15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15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15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15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15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15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15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15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15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15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15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15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15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15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15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15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15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15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15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15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15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15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15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15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15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15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15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15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15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15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15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15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spans="1:26" ht="15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spans="1:26" ht="15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spans="1:26" ht="15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spans="1:26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  <row r="1001" spans="1:26" ht="15.75" customHeight="1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</row>
    <row r="1002" spans="1:26" ht="15.75" customHeight="1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</row>
    <row r="1003" spans="1:26" ht="15.75" customHeight="1">
      <c r="A1003" s="80"/>
      <c r="B1003" s="8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</row>
  </sheetData>
  <mergeCells count="108">
    <mergeCell ref="B37:B39"/>
    <mergeCell ref="C37:C39"/>
    <mergeCell ref="D37:D39"/>
    <mergeCell ref="E37:E39"/>
    <mergeCell ref="H37:H39"/>
    <mergeCell ref="I37:I39"/>
    <mergeCell ref="J37:J39"/>
    <mergeCell ref="C31:C33"/>
    <mergeCell ref="D31:D33"/>
    <mergeCell ref="E31:E33"/>
    <mergeCell ref="H31:H33"/>
    <mergeCell ref="I31:I33"/>
    <mergeCell ref="J31:J33"/>
    <mergeCell ref="F38:G38"/>
    <mergeCell ref="I34:I36"/>
    <mergeCell ref="J34:J36"/>
    <mergeCell ref="F35:G35"/>
    <mergeCell ref="A25:A39"/>
    <mergeCell ref="B25:B27"/>
    <mergeCell ref="C25:C27"/>
    <mergeCell ref="D25:D27"/>
    <mergeCell ref="E25:E27"/>
    <mergeCell ref="H25:H27"/>
    <mergeCell ref="I25:I27"/>
    <mergeCell ref="J25:J27"/>
    <mergeCell ref="B22:B24"/>
    <mergeCell ref="C22:C24"/>
    <mergeCell ref="D22:D24"/>
    <mergeCell ref="E22:E24"/>
    <mergeCell ref="H22:H24"/>
    <mergeCell ref="I22:I24"/>
    <mergeCell ref="F32:G32"/>
    <mergeCell ref="B34:B36"/>
    <mergeCell ref="C34:C36"/>
    <mergeCell ref="D34:D36"/>
    <mergeCell ref="E34:E36"/>
    <mergeCell ref="H34:H36"/>
    <mergeCell ref="I28:I30"/>
    <mergeCell ref="J28:J30"/>
    <mergeCell ref="F29:G29"/>
    <mergeCell ref="B31:B33"/>
    <mergeCell ref="J19:J21"/>
    <mergeCell ref="F20:G20"/>
    <mergeCell ref="F26:G26"/>
    <mergeCell ref="B28:B30"/>
    <mergeCell ref="C28:C30"/>
    <mergeCell ref="D28:D30"/>
    <mergeCell ref="E28:E30"/>
    <mergeCell ref="H28:H30"/>
    <mergeCell ref="J22:J24"/>
    <mergeCell ref="F23:G23"/>
    <mergeCell ref="I13:I15"/>
    <mergeCell ref="J13:J15"/>
    <mergeCell ref="F14:G14"/>
    <mergeCell ref="A16:A24"/>
    <mergeCell ref="B16:B18"/>
    <mergeCell ref="C16:C18"/>
    <mergeCell ref="D16:D18"/>
    <mergeCell ref="E16:E18"/>
    <mergeCell ref="H16:H18"/>
    <mergeCell ref="I16:I18"/>
    <mergeCell ref="A13:A15"/>
    <mergeCell ref="B13:B15"/>
    <mergeCell ref="C13:C15"/>
    <mergeCell ref="D13:D15"/>
    <mergeCell ref="E13:E15"/>
    <mergeCell ref="H13:H15"/>
    <mergeCell ref="J16:J18"/>
    <mergeCell ref="F17:G17"/>
    <mergeCell ref="B19:B21"/>
    <mergeCell ref="C19:C21"/>
    <mergeCell ref="D19:D21"/>
    <mergeCell ref="E19:E21"/>
    <mergeCell ref="H19:H21"/>
    <mergeCell ref="I19:I21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A7:B7"/>
    <mergeCell ref="C7:E7"/>
    <mergeCell ref="F7:H7"/>
    <mergeCell ref="I7:J7"/>
    <mergeCell ref="A8:A9"/>
    <mergeCell ref="B8:B9"/>
    <mergeCell ref="C8:E8"/>
    <mergeCell ref="F8:G9"/>
    <mergeCell ref="H8:H9"/>
    <mergeCell ref="I8:I9"/>
    <mergeCell ref="J8:J9"/>
    <mergeCell ref="A4:C4"/>
    <mergeCell ref="D4:E4"/>
    <mergeCell ref="F4:G4"/>
    <mergeCell ref="A5:B5"/>
    <mergeCell ref="C5:J5"/>
    <mergeCell ref="F6:G6"/>
    <mergeCell ref="A1:B2"/>
    <mergeCell ref="C1:G2"/>
    <mergeCell ref="I1:J1"/>
    <mergeCell ref="I2:J2"/>
    <mergeCell ref="A3:E3"/>
    <mergeCell ref="F3:G3"/>
    <mergeCell ref="H3:J3"/>
  </mergeCells>
  <conditionalFormatting sqref="J4">
    <cfRule type="cellIs" dxfId="147" priority="4" operator="lessThan">
      <formula>$H$4</formula>
    </cfRule>
    <cfRule type="cellIs" dxfId="146" priority="5" operator="greaterThan">
      <formula>$H$4</formula>
    </cfRule>
  </conditionalFormatting>
  <pageMargins left="0.25" right="0.25" top="0.75" bottom="0.75" header="0" footer="0"/>
  <pageSetup scale="27" orientation="portrait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6805-E2CF-D344-98EE-9E350F0724AD}">
  <sheetPr codeName="Hoja2"/>
  <dimension ref="A1:J39"/>
  <sheetViews>
    <sheetView showGridLines="0" topLeftCell="E1" workbookViewId="0">
      <selection activeCell="H3" sqref="H3:J3"/>
    </sheetView>
  </sheetViews>
  <sheetFormatPr baseColWidth="10" defaultColWidth="11.125" defaultRowHeight="15" customHeight="1"/>
  <cols>
    <col min="1" max="1" width="22.625" style="109" customWidth="1"/>
    <col min="2" max="2" width="25.125" style="109" customWidth="1"/>
    <col min="3" max="3" width="26" style="109" customWidth="1"/>
    <col min="4" max="4" width="26.5" style="109" customWidth="1"/>
    <col min="5" max="5" width="35.125" style="109" customWidth="1"/>
    <col min="6" max="6" width="10.875" style="109" customWidth="1"/>
    <col min="7" max="7" width="19.125" style="109" customWidth="1"/>
    <col min="8" max="8" width="30.375" style="109" customWidth="1"/>
    <col min="9" max="9" width="36.375" style="109" customWidth="1"/>
    <col min="10" max="10" width="29.5" style="109" customWidth="1"/>
    <col min="11" max="16384" width="11.125" style="109"/>
  </cols>
  <sheetData>
    <row r="1" spans="1:10" ht="57.75" customHeight="1" thickBot="1">
      <c r="A1" s="266" t="e" vm="1">
        <v>#VALUE!</v>
      </c>
      <c r="B1" s="267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1.25" customHeight="1" thickBot="1">
      <c r="A2" s="268"/>
      <c r="B2" s="269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33.950000000000003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38.1" customHeight="1" thickBot="1">
      <c r="A4" s="110" t="s">
        <v>6</v>
      </c>
      <c r="B4" s="261" t="s">
        <v>7</v>
      </c>
      <c r="C4" s="213"/>
      <c r="D4" s="111" t="s">
        <v>8</v>
      </c>
      <c r="E4" s="112" t="s">
        <v>980</v>
      </c>
      <c r="F4" s="260" t="s">
        <v>10</v>
      </c>
      <c r="G4" s="219"/>
      <c r="H4" s="113">
        <v>23000000</v>
      </c>
      <c r="I4" s="114" t="s">
        <v>11</v>
      </c>
      <c r="J4" s="115"/>
    </row>
    <row r="5" spans="1:10" ht="36.950000000000003" customHeight="1" thickBot="1">
      <c r="A5" s="262" t="s">
        <v>12</v>
      </c>
      <c r="B5" s="213"/>
      <c r="C5" s="263" t="s">
        <v>13</v>
      </c>
      <c r="D5" s="252"/>
      <c r="E5" s="213"/>
      <c r="F5" s="264" t="s">
        <v>14</v>
      </c>
      <c r="G5" s="228"/>
      <c r="H5" s="234" t="s">
        <v>15</v>
      </c>
      <c r="I5" s="265" t="s">
        <v>16</v>
      </c>
      <c r="J5" s="234" t="s">
        <v>17</v>
      </c>
    </row>
    <row r="6" spans="1:10" ht="72" customHeight="1" thickBot="1">
      <c r="A6" s="112" t="s">
        <v>18</v>
      </c>
      <c r="B6" s="116" t="s">
        <v>19</v>
      </c>
      <c r="C6" s="117" t="s">
        <v>20</v>
      </c>
      <c r="D6" s="118" t="s">
        <v>21</v>
      </c>
      <c r="E6" s="117" t="s">
        <v>22</v>
      </c>
      <c r="F6" s="229"/>
      <c r="G6" s="230"/>
      <c r="H6" s="232"/>
      <c r="I6" s="232"/>
      <c r="J6" s="232"/>
    </row>
    <row r="7" spans="1:10" ht="116.1" customHeight="1" thickBot="1">
      <c r="A7" s="250" t="s">
        <v>23</v>
      </c>
      <c r="B7" s="213"/>
      <c r="C7" s="251" t="s">
        <v>1056</v>
      </c>
      <c r="D7" s="252"/>
      <c r="E7" s="213"/>
      <c r="F7" s="253" t="s">
        <v>24</v>
      </c>
      <c r="G7" s="254"/>
      <c r="H7" s="255"/>
      <c r="I7" s="251" t="s">
        <v>25</v>
      </c>
      <c r="J7" s="213"/>
    </row>
    <row r="8" spans="1:10" ht="15.75" customHeight="1" thickBot="1">
      <c r="A8" s="256" t="s">
        <v>26</v>
      </c>
      <c r="B8" s="257" t="s">
        <v>27</v>
      </c>
      <c r="C8" s="259" t="s">
        <v>28</v>
      </c>
      <c r="D8" s="252"/>
      <c r="E8" s="213"/>
      <c r="F8" s="246" t="s">
        <v>29</v>
      </c>
      <c r="G8" s="228"/>
      <c r="H8" s="247" t="s">
        <v>30</v>
      </c>
      <c r="I8" s="248" t="s">
        <v>31</v>
      </c>
      <c r="J8" s="247" t="s">
        <v>32</v>
      </c>
    </row>
    <row r="9" spans="1:10" ht="15.75" customHeight="1" thickBot="1">
      <c r="A9" s="232"/>
      <c r="B9" s="258"/>
      <c r="C9" s="119" t="s">
        <v>33</v>
      </c>
      <c r="D9" s="120" t="s">
        <v>34</v>
      </c>
      <c r="E9" s="121" t="s">
        <v>35</v>
      </c>
      <c r="F9" s="229"/>
      <c r="G9" s="230"/>
      <c r="H9" s="232"/>
      <c r="I9" s="249"/>
      <c r="J9" s="232"/>
    </row>
    <row r="10" spans="1:10" ht="65.099999999999994" customHeight="1" thickBot="1">
      <c r="A10" s="245" t="s">
        <v>36</v>
      </c>
      <c r="B10" s="243" t="s">
        <v>37</v>
      </c>
      <c r="C10" s="240" t="s">
        <v>38</v>
      </c>
      <c r="D10" s="234" t="s">
        <v>39</v>
      </c>
      <c r="E10" s="234" t="s">
        <v>40</v>
      </c>
      <c r="F10" s="122">
        <v>90</v>
      </c>
      <c r="G10" s="123" t="s">
        <v>41</v>
      </c>
      <c r="H10" s="234" t="s">
        <v>42</v>
      </c>
      <c r="I10" s="234" t="s">
        <v>43</v>
      </c>
      <c r="J10" s="234" t="s">
        <v>44</v>
      </c>
    </row>
    <row r="11" spans="1:10" ht="15.75" customHeight="1" thickBot="1">
      <c r="A11" s="235"/>
      <c r="B11" s="235"/>
      <c r="C11" s="241"/>
      <c r="D11" s="235"/>
      <c r="E11" s="235"/>
      <c r="F11" s="237" t="s">
        <v>45</v>
      </c>
      <c r="G11" s="238"/>
      <c r="H11" s="235"/>
      <c r="I11" s="235"/>
      <c r="J11" s="235"/>
    </row>
    <row r="12" spans="1:10" ht="32.25" customHeight="1" thickBot="1">
      <c r="A12" s="232"/>
      <c r="B12" s="232"/>
      <c r="C12" s="242"/>
      <c r="D12" s="232"/>
      <c r="E12" s="232"/>
      <c r="F12" s="94" t="s">
        <v>1057</v>
      </c>
      <c r="G12" s="124" t="s">
        <v>46</v>
      </c>
      <c r="H12" s="232"/>
      <c r="I12" s="232"/>
      <c r="J12" s="232"/>
    </row>
    <row r="13" spans="1:10" ht="90" customHeight="1" thickBot="1">
      <c r="A13" s="239" t="s">
        <v>47</v>
      </c>
      <c r="B13" s="234" t="s">
        <v>48</v>
      </c>
      <c r="C13" s="240" t="s">
        <v>49</v>
      </c>
      <c r="D13" s="234" t="s">
        <v>50</v>
      </c>
      <c r="E13" s="234" t="s">
        <v>40</v>
      </c>
      <c r="F13" s="94">
        <v>75</v>
      </c>
      <c r="G13" s="123" t="s">
        <v>51</v>
      </c>
      <c r="H13" s="234" t="s">
        <v>52</v>
      </c>
      <c r="I13" s="234" t="s">
        <v>53</v>
      </c>
      <c r="J13" s="234" t="s">
        <v>54</v>
      </c>
    </row>
    <row r="14" spans="1:10" ht="15.75" customHeight="1" thickBot="1">
      <c r="A14" s="235"/>
      <c r="B14" s="235"/>
      <c r="C14" s="241"/>
      <c r="D14" s="235"/>
      <c r="E14" s="235"/>
      <c r="F14" s="237" t="s">
        <v>45</v>
      </c>
      <c r="G14" s="238"/>
      <c r="H14" s="235"/>
      <c r="I14" s="235"/>
      <c r="J14" s="235"/>
    </row>
    <row r="15" spans="1:10" ht="102" customHeight="1" thickBot="1">
      <c r="A15" s="232"/>
      <c r="B15" s="232"/>
      <c r="C15" s="242"/>
      <c r="D15" s="232"/>
      <c r="E15" s="232"/>
      <c r="F15" s="97" t="s">
        <v>1057</v>
      </c>
      <c r="G15" s="124" t="s">
        <v>55</v>
      </c>
      <c r="H15" s="232"/>
      <c r="I15" s="232"/>
      <c r="J15" s="232"/>
    </row>
    <row r="16" spans="1:10" ht="15.75" customHeight="1" thickBot="1">
      <c r="A16" s="245" t="s">
        <v>56</v>
      </c>
      <c r="B16" s="243" t="s">
        <v>57</v>
      </c>
      <c r="C16" s="244" t="s">
        <v>58</v>
      </c>
      <c r="D16" s="234" t="s">
        <v>59</v>
      </c>
      <c r="E16" s="234" t="s">
        <v>40</v>
      </c>
      <c r="F16" s="94">
        <v>100</v>
      </c>
      <c r="G16" s="125" t="s">
        <v>60</v>
      </c>
      <c r="H16" s="234" t="s">
        <v>61</v>
      </c>
      <c r="I16" s="234" t="s">
        <v>62</v>
      </c>
      <c r="J16" s="234" t="s">
        <v>63</v>
      </c>
    </row>
    <row r="17" spans="1:10" ht="15.75" customHeight="1" thickBot="1">
      <c r="A17" s="235"/>
      <c r="B17" s="235"/>
      <c r="C17" s="235"/>
      <c r="D17" s="235"/>
      <c r="E17" s="235"/>
      <c r="F17" s="237" t="s">
        <v>45</v>
      </c>
      <c r="G17" s="238"/>
      <c r="H17" s="235"/>
      <c r="I17" s="235"/>
      <c r="J17" s="235"/>
    </row>
    <row r="18" spans="1:10" ht="53.25" customHeight="1" thickBot="1">
      <c r="A18" s="235"/>
      <c r="B18" s="232"/>
      <c r="C18" s="232"/>
      <c r="D18" s="232"/>
      <c r="E18" s="232"/>
      <c r="F18" s="126">
        <v>4</v>
      </c>
      <c r="G18" s="127" t="s">
        <v>64</v>
      </c>
      <c r="H18" s="232"/>
      <c r="I18" s="232"/>
      <c r="J18" s="232"/>
    </row>
    <row r="19" spans="1:10" ht="15.75" customHeight="1" thickBot="1">
      <c r="A19" s="235"/>
      <c r="B19" s="234" t="s">
        <v>65</v>
      </c>
      <c r="C19" s="244" t="s">
        <v>66</v>
      </c>
      <c r="D19" s="234" t="s">
        <v>59</v>
      </c>
      <c r="E19" s="234" t="s">
        <v>40</v>
      </c>
      <c r="F19" s="94">
        <v>100</v>
      </c>
      <c r="G19" s="125" t="s">
        <v>60</v>
      </c>
      <c r="H19" s="234" t="s">
        <v>67</v>
      </c>
      <c r="I19" s="234" t="s">
        <v>62</v>
      </c>
      <c r="J19" s="234" t="s">
        <v>68</v>
      </c>
    </row>
    <row r="20" spans="1:10" ht="15.75" customHeight="1" thickBot="1">
      <c r="A20" s="235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87" customHeight="1" thickBot="1">
      <c r="A21" s="235"/>
      <c r="B21" s="232"/>
      <c r="C21" s="232"/>
      <c r="D21" s="232"/>
      <c r="E21" s="232"/>
      <c r="F21" s="128">
        <v>6</v>
      </c>
      <c r="G21" s="127" t="s">
        <v>64</v>
      </c>
      <c r="H21" s="232"/>
      <c r="I21" s="232"/>
      <c r="J21" s="232"/>
    </row>
    <row r="22" spans="1:10" ht="66" customHeight="1" thickBot="1">
      <c r="A22" s="235"/>
      <c r="B22" s="243" t="s">
        <v>69</v>
      </c>
      <c r="C22" s="244" t="s">
        <v>70</v>
      </c>
      <c r="D22" s="234" t="s">
        <v>59</v>
      </c>
      <c r="E22" s="234" t="s">
        <v>40</v>
      </c>
      <c r="F22" s="94">
        <v>100</v>
      </c>
      <c r="G22" s="125" t="s">
        <v>60</v>
      </c>
      <c r="H22" s="234" t="s">
        <v>71</v>
      </c>
      <c r="I22" s="234" t="s">
        <v>72</v>
      </c>
      <c r="J22" s="234" t="s">
        <v>73</v>
      </c>
    </row>
    <row r="23" spans="1:10" ht="15.75" customHeight="1" thickBot="1">
      <c r="A23" s="235"/>
      <c r="B23" s="235"/>
      <c r="C23" s="235"/>
      <c r="D23" s="235"/>
      <c r="E23" s="235"/>
      <c r="F23" s="237" t="s">
        <v>45</v>
      </c>
      <c r="G23" s="238"/>
      <c r="H23" s="235"/>
      <c r="I23" s="235"/>
      <c r="J23" s="235"/>
    </row>
    <row r="24" spans="1:10" ht="91.5" customHeight="1" thickBot="1">
      <c r="A24" s="235"/>
      <c r="B24" s="232"/>
      <c r="C24" s="232"/>
      <c r="D24" s="232"/>
      <c r="E24" s="232"/>
      <c r="F24" s="128">
        <v>6</v>
      </c>
      <c r="G24" s="127" t="s">
        <v>64</v>
      </c>
      <c r="H24" s="232"/>
      <c r="I24" s="232"/>
      <c r="J24" s="232"/>
    </row>
    <row r="25" spans="1:10" ht="102" customHeight="1" thickBot="1">
      <c r="A25" s="235"/>
      <c r="B25" s="234" t="s">
        <v>74</v>
      </c>
      <c r="C25" s="244" t="s">
        <v>75</v>
      </c>
      <c r="D25" s="234" t="s">
        <v>59</v>
      </c>
      <c r="E25" s="234" t="s">
        <v>76</v>
      </c>
      <c r="F25" s="94">
        <v>100</v>
      </c>
      <c r="G25" s="125" t="s">
        <v>77</v>
      </c>
      <c r="H25" s="234" t="s">
        <v>78</v>
      </c>
      <c r="I25" s="234" t="s">
        <v>76</v>
      </c>
      <c r="J25" s="234" t="s">
        <v>79</v>
      </c>
    </row>
    <row r="26" spans="1:10" ht="15.75" customHeight="1" thickBot="1">
      <c r="A26" s="235"/>
      <c r="B26" s="235"/>
      <c r="C26" s="235"/>
      <c r="D26" s="235"/>
      <c r="E26" s="235"/>
      <c r="F26" s="237" t="s">
        <v>45</v>
      </c>
      <c r="G26" s="238"/>
      <c r="H26" s="235"/>
      <c r="I26" s="235"/>
      <c r="J26" s="235"/>
    </row>
    <row r="27" spans="1:10" ht="60.75" customHeight="1" thickBot="1">
      <c r="A27" s="232"/>
      <c r="B27" s="232"/>
      <c r="C27" s="232"/>
      <c r="D27" s="232"/>
      <c r="E27" s="232"/>
      <c r="F27" s="128">
        <v>8</v>
      </c>
      <c r="G27" s="127" t="s">
        <v>64</v>
      </c>
      <c r="H27" s="232"/>
      <c r="I27" s="232"/>
      <c r="J27" s="232"/>
    </row>
    <row r="28" spans="1:10" ht="86.1" customHeight="1" thickBot="1">
      <c r="A28" s="245" t="s">
        <v>80</v>
      </c>
      <c r="B28" s="234" t="s">
        <v>81</v>
      </c>
      <c r="C28" s="234" t="s">
        <v>82</v>
      </c>
      <c r="D28" s="234" t="s">
        <v>59</v>
      </c>
      <c r="E28" s="234" t="s">
        <v>40</v>
      </c>
      <c r="F28" s="94">
        <v>337</v>
      </c>
      <c r="G28" s="124" t="s">
        <v>83</v>
      </c>
      <c r="H28" s="234" t="s">
        <v>84</v>
      </c>
      <c r="I28" s="234" t="s">
        <v>85</v>
      </c>
      <c r="J28" s="234" t="s">
        <v>86</v>
      </c>
    </row>
    <row r="29" spans="1:10" ht="15.75" customHeight="1" thickBot="1">
      <c r="A29" s="235"/>
      <c r="B29" s="235"/>
      <c r="C29" s="235"/>
      <c r="D29" s="235"/>
      <c r="E29" s="235"/>
      <c r="F29" s="236" t="s">
        <v>45</v>
      </c>
      <c r="G29" s="213"/>
      <c r="H29" s="235"/>
      <c r="I29" s="235"/>
      <c r="J29" s="235"/>
    </row>
    <row r="30" spans="1:10" ht="69" customHeight="1" thickBot="1">
      <c r="A30" s="235"/>
      <c r="B30" s="232"/>
      <c r="C30" s="232"/>
      <c r="D30" s="232"/>
      <c r="E30" s="232"/>
      <c r="F30" s="94">
        <v>110</v>
      </c>
      <c r="G30" s="124" t="s">
        <v>87</v>
      </c>
      <c r="H30" s="232"/>
      <c r="I30" s="232"/>
      <c r="J30" s="232"/>
    </row>
    <row r="31" spans="1:10" ht="135" customHeight="1" thickBot="1">
      <c r="A31" s="235"/>
      <c r="B31" s="234" t="s">
        <v>88</v>
      </c>
      <c r="C31" s="234" t="s">
        <v>89</v>
      </c>
      <c r="D31" s="234" t="s">
        <v>59</v>
      </c>
      <c r="E31" s="234" t="s">
        <v>40</v>
      </c>
      <c r="F31" s="94">
        <v>491</v>
      </c>
      <c r="G31" s="124" t="s">
        <v>90</v>
      </c>
      <c r="H31" s="234" t="s">
        <v>91</v>
      </c>
      <c r="I31" s="234" t="s">
        <v>62</v>
      </c>
      <c r="J31" s="234" t="s">
        <v>92</v>
      </c>
    </row>
    <row r="32" spans="1:10" ht="15.75" customHeight="1" thickBot="1">
      <c r="A32" s="235"/>
      <c r="B32" s="235"/>
      <c r="C32" s="235"/>
      <c r="D32" s="235"/>
      <c r="E32" s="235"/>
      <c r="F32" s="236" t="s">
        <v>45</v>
      </c>
      <c r="G32" s="213"/>
      <c r="H32" s="235"/>
      <c r="I32" s="235"/>
      <c r="J32" s="235"/>
    </row>
    <row r="33" spans="1:10" ht="66.95" customHeight="1" thickBot="1">
      <c r="A33" s="235"/>
      <c r="B33" s="232"/>
      <c r="C33" s="232"/>
      <c r="D33" s="232"/>
      <c r="E33" s="232"/>
      <c r="F33" s="94">
        <v>36</v>
      </c>
      <c r="G33" s="124" t="s">
        <v>93</v>
      </c>
      <c r="H33" s="232"/>
      <c r="I33" s="232"/>
      <c r="J33" s="232"/>
    </row>
    <row r="34" spans="1:10" ht="56.1" customHeight="1" thickBot="1">
      <c r="A34" s="235"/>
      <c r="B34" s="234" t="s">
        <v>94</v>
      </c>
      <c r="C34" s="234" t="s">
        <v>95</v>
      </c>
      <c r="D34" s="234" t="s">
        <v>59</v>
      </c>
      <c r="E34" s="234" t="s">
        <v>40</v>
      </c>
      <c r="F34" s="94">
        <v>603</v>
      </c>
      <c r="G34" s="124" t="s">
        <v>96</v>
      </c>
      <c r="H34" s="234" t="s">
        <v>97</v>
      </c>
      <c r="I34" s="234" t="s">
        <v>98</v>
      </c>
      <c r="J34" s="234" t="s">
        <v>99</v>
      </c>
    </row>
    <row r="35" spans="1:10" ht="44.1" customHeight="1" thickBot="1">
      <c r="A35" s="235"/>
      <c r="B35" s="235"/>
      <c r="C35" s="235"/>
      <c r="D35" s="235"/>
      <c r="E35" s="235"/>
      <c r="F35" s="236" t="s">
        <v>45</v>
      </c>
      <c r="G35" s="213"/>
      <c r="H35" s="235"/>
      <c r="I35" s="235"/>
      <c r="J35" s="235"/>
    </row>
    <row r="36" spans="1:10" ht="60" customHeight="1" thickBot="1">
      <c r="A36" s="235"/>
      <c r="B36" s="232"/>
      <c r="C36" s="232"/>
      <c r="D36" s="232"/>
      <c r="E36" s="232"/>
      <c r="F36" s="94">
        <v>155</v>
      </c>
      <c r="G36" s="124" t="s">
        <v>100</v>
      </c>
      <c r="H36" s="232"/>
      <c r="I36" s="232"/>
      <c r="J36" s="232"/>
    </row>
    <row r="37" spans="1:10" ht="69.95" customHeight="1" thickBot="1">
      <c r="A37" s="235"/>
      <c r="B37" s="234" t="s">
        <v>101</v>
      </c>
      <c r="C37" s="234" t="s">
        <v>102</v>
      </c>
      <c r="D37" s="234" t="s">
        <v>59</v>
      </c>
      <c r="E37" s="234" t="s">
        <v>40</v>
      </c>
      <c r="F37" s="94">
        <v>582</v>
      </c>
      <c r="G37" s="124" t="s">
        <v>103</v>
      </c>
      <c r="H37" s="234" t="s">
        <v>104</v>
      </c>
      <c r="I37" s="234" t="s">
        <v>105</v>
      </c>
      <c r="J37" s="234" t="s">
        <v>106</v>
      </c>
    </row>
    <row r="38" spans="1:10" ht="15.75" customHeight="1" thickBot="1">
      <c r="A38" s="235"/>
      <c r="B38" s="235"/>
      <c r="C38" s="235"/>
      <c r="D38" s="235"/>
      <c r="E38" s="235"/>
      <c r="F38" s="236" t="s">
        <v>45</v>
      </c>
      <c r="G38" s="213"/>
      <c r="H38" s="235"/>
      <c r="I38" s="235"/>
      <c r="J38" s="235"/>
    </row>
    <row r="39" spans="1:10" ht="63.95" customHeight="1" thickBot="1">
      <c r="A39" s="232"/>
      <c r="B39" s="232"/>
      <c r="C39" s="232"/>
      <c r="D39" s="232"/>
      <c r="E39" s="232"/>
      <c r="F39" s="94">
        <v>50</v>
      </c>
      <c r="G39" s="124" t="s">
        <v>107</v>
      </c>
      <c r="H39" s="232"/>
      <c r="I39" s="232"/>
      <c r="J39" s="232"/>
    </row>
  </sheetData>
  <mergeCells count="110">
    <mergeCell ref="A1:B2"/>
    <mergeCell ref="C1:G2"/>
    <mergeCell ref="I1:J1"/>
    <mergeCell ref="I2:J2"/>
    <mergeCell ref="A3:D3"/>
    <mergeCell ref="E3:G3"/>
    <mergeCell ref="H3:J3"/>
    <mergeCell ref="I5:I6"/>
    <mergeCell ref="J5:J6"/>
    <mergeCell ref="A7:B7"/>
    <mergeCell ref="C7:E7"/>
    <mergeCell ref="F7:H7"/>
    <mergeCell ref="I7:J7"/>
    <mergeCell ref="B4:C4"/>
    <mergeCell ref="F4:G4"/>
    <mergeCell ref="A5:B5"/>
    <mergeCell ref="C5:E5"/>
    <mergeCell ref="F5:G6"/>
    <mergeCell ref="H5:H6"/>
    <mergeCell ref="J8:J9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A8:A9"/>
    <mergeCell ref="B8:B9"/>
    <mergeCell ref="C8:E8"/>
    <mergeCell ref="F8:G9"/>
    <mergeCell ref="H8:H9"/>
    <mergeCell ref="I8:I9"/>
    <mergeCell ref="I13:I15"/>
    <mergeCell ref="J13:J15"/>
    <mergeCell ref="F14:G14"/>
    <mergeCell ref="A16:A27"/>
    <mergeCell ref="B16:B18"/>
    <mergeCell ref="C16:C18"/>
    <mergeCell ref="D16:D18"/>
    <mergeCell ref="E16:E18"/>
    <mergeCell ref="H16:H18"/>
    <mergeCell ref="I16:I18"/>
    <mergeCell ref="A13:A15"/>
    <mergeCell ref="B13:B15"/>
    <mergeCell ref="C13:C15"/>
    <mergeCell ref="D13:D15"/>
    <mergeCell ref="E13:E15"/>
    <mergeCell ref="H13:H15"/>
    <mergeCell ref="J16:J18"/>
    <mergeCell ref="F17:G17"/>
    <mergeCell ref="B19:B21"/>
    <mergeCell ref="C19:C21"/>
    <mergeCell ref="D19:D21"/>
    <mergeCell ref="E19:E21"/>
    <mergeCell ref="H19:H21"/>
    <mergeCell ref="I19:I21"/>
    <mergeCell ref="J19:J21"/>
    <mergeCell ref="F20:G20"/>
    <mergeCell ref="J22:J24"/>
    <mergeCell ref="F23:G23"/>
    <mergeCell ref="B25:B27"/>
    <mergeCell ref="C25:C27"/>
    <mergeCell ref="D25:D27"/>
    <mergeCell ref="E25:E27"/>
    <mergeCell ref="H25:H27"/>
    <mergeCell ref="I25:I27"/>
    <mergeCell ref="J25:J27"/>
    <mergeCell ref="F26:G26"/>
    <mergeCell ref="B22:B24"/>
    <mergeCell ref="C22:C24"/>
    <mergeCell ref="D22:D24"/>
    <mergeCell ref="E22:E24"/>
    <mergeCell ref="H22:H24"/>
    <mergeCell ref="I22:I24"/>
    <mergeCell ref="A28:A39"/>
    <mergeCell ref="B28:B30"/>
    <mergeCell ref="C28:C30"/>
    <mergeCell ref="D28:D30"/>
    <mergeCell ref="E28:E30"/>
    <mergeCell ref="H28:H30"/>
    <mergeCell ref="F32:G32"/>
    <mergeCell ref="B34:B36"/>
    <mergeCell ref="C34:C36"/>
    <mergeCell ref="D34:D36"/>
    <mergeCell ref="I28:I30"/>
    <mergeCell ref="J28:J30"/>
    <mergeCell ref="F29:G29"/>
    <mergeCell ref="B31:B33"/>
    <mergeCell ref="C31:C33"/>
    <mergeCell ref="D31:D33"/>
    <mergeCell ref="E31:E33"/>
    <mergeCell ref="H31:H33"/>
    <mergeCell ref="I31:I33"/>
    <mergeCell ref="J31:J33"/>
    <mergeCell ref="I37:I39"/>
    <mergeCell ref="J37:J39"/>
    <mergeCell ref="F38:G38"/>
    <mergeCell ref="E34:E36"/>
    <mergeCell ref="H34:H36"/>
    <mergeCell ref="I34:I36"/>
    <mergeCell ref="J34:J36"/>
    <mergeCell ref="F35:G35"/>
    <mergeCell ref="B37:B39"/>
    <mergeCell ref="C37:C39"/>
    <mergeCell ref="D37:D39"/>
    <mergeCell ref="E37:E39"/>
    <mergeCell ref="H37:H39"/>
  </mergeCells>
  <conditionalFormatting sqref="F12">
    <cfRule type="cellIs" dxfId="386" priority="1" operator="greaterThan">
      <formula>$F$10</formula>
    </cfRule>
    <cfRule type="cellIs" dxfId="385" priority="2" operator="lessThan">
      <formula>$F$10</formula>
    </cfRule>
  </conditionalFormatting>
  <conditionalFormatting sqref="F15">
    <cfRule type="cellIs" dxfId="384" priority="3" stopIfTrue="1" operator="greaterThan">
      <formula>$F$13</formula>
    </cfRule>
    <cfRule type="cellIs" dxfId="383" priority="4" operator="lessThan">
      <formula>$F$13</formula>
    </cfRule>
  </conditionalFormatting>
  <conditionalFormatting sqref="F18">
    <cfRule type="cellIs" dxfId="382" priority="5" operator="lessThan">
      <formula>80</formula>
    </cfRule>
    <cfRule type="cellIs" dxfId="381" priority="6" operator="greaterThanOrEqual">
      <formula>80</formula>
    </cfRule>
  </conditionalFormatting>
  <conditionalFormatting sqref="F21">
    <cfRule type="cellIs" dxfId="380" priority="7" operator="lessThan">
      <formula>80</formula>
    </cfRule>
    <cfRule type="cellIs" dxfId="379" priority="8" operator="greaterThanOrEqual">
      <formula>80</formula>
    </cfRule>
  </conditionalFormatting>
  <conditionalFormatting sqref="F24">
    <cfRule type="cellIs" dxfId="378" priority="9" operator="lessThan">
      <formula>80</formula>
    </cfRule>
    <cfRule type="cellIs" dxfId="377" priority="10" operator="greaterThanOrEqual">
      <formula>80</formula>
    </cfRule>
  </conditionalFormatting>
  <conditionalFormatting sqref="F27">
    <cfRule type="cellIs" dxfId="376" priority="11" operator="lessThan">
      <formula>80</formula>
    </cfRule>
    <cfRule type="cellIs" dxfId="375" priority="12" operator="greaterThanOrEqual">
      <formula>80</formula>
    </cfRule>
  </conditionalFormatting>
  <conditionalFormatting sqref="F30">
    <cfRule type="cellIs" dxfId="374" priority="13" operator="lessThan">
      <formula>$F$28</formula>
    </cfRule>
    <cfRule type="cellIs" dxfId="373" priority="14" stopIfTrue="1" operator="greaterThanOrEqual">
      <formula>$F$28</formula>
    </cfRule>
  </conditionalFormatting>
  <conditionalFormatting sqref="F33">
    <cfRule type="cellIs" dxfId="372" priority="15" operator="lessThan">
      <formula>$F$22</formula>
    </cfRule>
    <cfRule type="cellIs" dxfId="371" priority="16" operator="greaterThanOrEqual">
      <formula>$F$22</formula>
    </cfRule>
  </conditionalFormatting>
  <conditionalFormatting sqref="F36">
    <cfRule type="cellIs" dxfId="370" priority="17" operator="lessThan">
      <formula>$F$34</formula>
    </cfRule>
    <cfRule type="cellIs" dxfId="369" priority="18" operator="greaterThanOrEqual">
      <formula>$F$34</formula>
    </cfRule>
  </conditionalFormatting>
  <conditionalFormatting sqref="F39">
    <cfRule type="cellIs" dxfId="368" priority="19" operator="lessThan">
      <formula>$F$22</formula>
    </cfRule>
    <cfRule type="cellIs" dxfId="367" priority="20" operator="greaterThanOrEqual">
      <formula>$F$22</formula>
    </cfRule>
  </conditionalFormatting>
  <conditionalFormatting sqref="J4">
    <cfRule type="cellIs" dxfId="366" priority="21" operator="lessThan">
      <formula>$H$4</formula>
    </cfRule>
    <cfRule type="cellIs" dxfId="365" priority="22" operator="greaterThan">
      <formula>$H$4</formula>
    </cfRule>
  </conditionalFormatting>
  <pageMargins left="0.7" right="0.7" top="0.75" bottom="0.75" header="0" footer="0"/>
  <pageSetup scale="32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9">
    <tabColor rgb="FF385623"/>
  </sheetPr>
  <dimension ref="A1:Z1000"/>
  <sheetViews>
    <sheetView tabSelected="1" workbookViewId="0">
      <selection activeCell="H3" sqref="H3:J3"/>
    </sheetView>
  </sheetViews>
  <sheetFormatPr baseColWidth="10" defaultColWidth="11.125" defaultRowHeight="15" customHeight="1"/>
  <cols>
    <col min="1" max="1" width="26.375" style="158" customWidth="1"/>
    <col min="2" max="2" width="27.625" style="158" customWidth="1"/>
    <col min="3" max="3" width="31.375" style="158" customWidth="1"/>
    <col min="4" max="4" width="27.875" style="158" customWidth="1"/>
    <col min="5" max="5" width="44.625" style="158" customWidth="1"/>
    <col min="6" max="6" width="19.375" style="158" customWidth="1"/>
    <col min="7" max="7" width="31" style="158" customWidth="1"/>
    <col min="8" max="8" width="26" style="158" customWidth="1"/>
    <col min="9" max="9" width="32.125" style="158" customWidth="1"/>
    <col min="10" max="10" width="31.875" style="158" customWidth="1"/>
    <col min="11" max="26" width="10.5" style="158" customWidth="1"/>
    <col min="27" max="16384" width="11.125" style="158"/>
  </cols>
  <sheetData>
    <row r="1" spans="1:26" ht="114.75" customHeight="1" thickBo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6" ht="33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6" ht="33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33" customHeight="1" thickBot="1">
      <c r="A4" s="129" t="s">
        <v>6</v>
      </c>
      <c r="B4" s="220" t="s">
        <v>601</v>
      </c>
      <c r="C4" s="213"/>
      <c r="D4" s="130" t="s">
        <v>8</v>
      </c>
      <c r="E4" s="131" t="s">
        <v>9</v>
      </c>
      <c r="F4" s="218" t="s">
        <v>10</v>
      </c>
      <c r="G4" s="219"/>
      <c r="H4" s="145">
        <v>2000000</v>
      </c>
      <c r="I4" s="133" t="s">
        <v>11</v>
      </c>
      <c r="J4" s="134">
        <v>1888118.98</v>
      </c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33" customHeight="1" thickBot="1">
      <c r="A5" s="221" t="s">
        <v>12</v>
      </c>
      <c r="B5" s="195"/>
      <c r="C5" s="222" t="s">
        <v>602</v>
      </c>
      <c r="D5" s="192"/>
      <c r="E5" s="172"/>
      <c r="F5" s="227" t="s">
        <v>14</v>
      </c>
      <c r="G5" s="228"/>
      <c r="H5" s="231" t="s">
        <v>139</v>
      </c>
      <c r="I5" s="233" t="s">
        <v>16</v>
      </c>
      <c r="J5" s="231" t="s">
        <v>17</v>
      </c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67.5" customHeight="1" thickBot="1">
      <c r="A6" s="131" t="s">
        <v>18</v>
      </c>
      <c r="B6" s="135" t="s">
        <v>19</v>
      </c>
      <c r="C6" s="136" t="s">
        <v>20</v>
      </c>
      <c r="D6" s="137" t="s">
        <v>21</v>
      </c>
      <c r="E6" s="136" t="s">
        <v>22</v>
      </c>
      <c r="F6" s="229"/>
      <c r="G6" s="230"/>
      <c r="H6" s="232"/>
      <c r="I6" s="232"/>
      <c r="J6" s="232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33" customHeight="1" thickBot="1">
      <c r="A7" s="187" t="s">
        <v>23</v>
      </c>
      <c r="B7" s="172"/>
      <c r="C7" s="188" t="s">
        <v>1103</v>
      </c>
      <c r="D7" s="192"/>
      <c r="E7" s="172"/>
      <c r="F7" s="193" t="s">
        <v>24</v>
      </c>
      <c r="G7" s="194"/>
      <c r="H7" s="195"/>
      <c r="I7" s="188" t="s">
        <v>25</v>
      </c>
      <c r="J7" s="172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.75" customHeight="1">
      <c r="A8" s="196" t="s">
        <v>26</v>
      </c>
      <c r="B8" s="197" t="s">
        <v>27</v>
      </c>
      <c r="C8" s="199" t="s">
        <v>28</v>
      </c>
      <c r="D8" s="192"/>
      <c r="E8" s="172"/>
      <c r="F8" s="200" t="s">
        <v>29</v>
      </c>
      <c r="G8" s="201"/>
      <c r="H8" s="191" t="s">
        <v>30</v>
      </c>
      <c r="I8" s="189" t="s">
        <v>31</v>
      </c>
      <c r="J8" s="191" t="s">
        <v>32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15.75" customHeight="1">
      <c r="A9" s="170"/>
      <c r="B9" s="198"/>
      <c r="C9" s="88" t="s">
        <v>33</v>
      </c>
      <c r="D9" s="89" t="s">
        <v>34</v>
      </c>
      <c r="E9" s="90" t="s">
        <v>35</v>
      </c>
      <c r="F9" s="202"/>
      <c r="G9" s="203"/>
      <c r="H9" s="170"/>
      <c r="I9" s="190"/>
      <c r="J9" s="170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54.75" customHeight="1">
      <c r="A10" s="186" t="s">
        <v>36</v>
      </c>
      <c r="B10" s="168" t="s">
        <v>603</v>
      </c>
      <c r="C10" s="176" t="s">
        <v>1104</v>
      </c>
      <c r="D10" s="168" t="s">
        <v>1105</v>
      </c>
      <c r="E10" s="168" t="s">
        <v>40</v>
      </c>
      <c r="F10" s="122">
        <v>60</v>
      </c>
      <c r="G10" s="91" t="s">
        <v>1106</v>
      </c>
      <c r="H10" s="168" t="s">
        <v>1109</v>
      </c>
      <c r="I10" s="168" t="s">
        <v>1110</v>
      </c>
      <c r="J10" s="168" t="s">
        <v>1111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34.5" customHeight="1" thickBot="1">
      <c r="A11" s="169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126" customHeight="1" thickBot="1">
      <c r="A12" s="170"/>
      <c r="B12" s="170"/>
      <c r="C12" s="178"/>
      <c r="D12" s="170"/>
      <c r="E12" s="170"/>
      <c r="F12" s="156" t="s">
        <v>1107</v>
      </c>
      <c r="G12" s="92" t="s">
        <v>1108</v>
      </c>
      <c r="H12" s="170"/>
      <c r="I12" s="170"/>
      <c r="J12" s="170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69" customHeight="1" thickBot="1">
      <c r="A13" s="179" t="s">
        <v>47</v>
      </c>
      <c r="B13" s="180" t="s">
        <v>604</v>
      </c>
      <c r="C13" s="168" t="s">
        <v>605</v>
      </c>
      <c r="D13" s="168"/>
      <c r="E13" s="168" t="s">
        <v>40</v>
      </c>
      <c r="F13" s="94">
        <v>100</v>
      </c>
      <c r="G13" s="159" t="s">
        <v>1112</v>
      </c>
      <c r="H13" s="168" t="s">
        <v>606</v>
      </c>
      <c r="I13" s="168" t="s">
        <v>607</v>
      </c>
      <c r="J13" s="168" t="s">
        <v>608</v>
      </c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39" customHeight="1" thickBot="1">
      <c r="A14" s="169"/>
      <c r="B14" s="169"/>
      <c r="C14" s="169"/>
      <c r="D14" s="169"/>
      <c r="E14" s="169"/>
      <c r="F14" s="173" t="s">
        <v>45</v>
      </c>
      <c r="G14" s="174"/>
      <c r="H14" s="169"/>
      <c r="I14" s="169"/>
      <c r="J14" s="169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70.5" customHeight="1" thickBot="1">
      <c r="A15" s="170"/>
      <c r="B15" s="170"/>
      <c r="C15" s="170"/>
      <c r="D15" s="170"/>
      <c r="E15" s="170"/>
      <c r="F15" s="106">
        <v>100</v>
      </c>
      <c r="G15" s="92" t="s">
        <v>1113</v>
      </c>
      <c r="H15" s="170"/>
      <c r="I15" s="170"/>
      <c r="J15" s="170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69" customHeight="1" thickBot="1">
      <c r="A16" s="181" t="s">
        <v>56</v>
      </c>
      <c r="B16" s="168" t="s">
        <v>609</v>
      </c>
      <c r="C16" s="168" t="s">
        <v>610</v>
      </c>
      <c r="D16" s="168" t="s">
        <v>208</v>
      </c>
      <c r="E16" s="168" t="s">
        <v>40</v>
      </c>
      <c r="F16" s="94">
        <v>95</v>
      </c>
      <c r="G16" s="96" t="s">
        <v>267</v>
      </c>
      <c r="H16" s="168" t="s">
        <v>611</v>
      </c>
      <c r="I16" s="168" t="s">
        <v>612</v>
      </c>
      <c r="J16" s="168" t="s">
        <v>613</v>
      </c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49.5" customHeight="1">
      <c r="A17" s="182"/>
      <c r="B17" s="169"/>
      <c r="C17" s="169"/>
      <c r="D17" s="169"/>
      <c r="E17" s="169"/>
      <c r="F17" s="173" t="s">
        <v>45</v>
      </c>
      <c r="G17" s="174"/>
      <c r="H17" s="169"/>
      <c r="I17" s="169"/>
      <c r="J17" s="169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87.75" customHeight="1">
      <c r="A18" s="182"/>
      <c r="B18" s="170"/>
      <c r="C18" s="170"/>
      <c r="D18" s="170"/>
      <c r="E18" s="170"/>
      <c r="F18" s="97">
        <v>0</v>
      </c>
      <c r="G18" s="96" t="s">
        <v>267</v>
      </c>
      <c r="H18" s="170"/>
      <c r="I18" s="170"/>
      <c r="J18" s="170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109.5" customHeight="1">
      <c r="A19" s="182"/>
      <c r="B19" s="168" t="s">
        <v>614</v>
      </c>
      <c r="C19" s="168" t="s">
        <v>615</v>
      </c>
      <c r="D19" s="168" t="s">
        <v>208</v>
      </c>
      <c r="E19" s="168" t="s">
        <v>40</v>
      </c>
      <c r="F19" s="94">
        <v>95</v>
      </c>
      <c r="G19" s="96" t="s">
        <v>267</v>
      </c>
      <c r="H19" s="168" t="s">
        <v>616</v>
      </c>
      <c r="I19" s="168" t="s">
        <v>617</v>
      </c>
      <c r="J19" s="168" t="s">
        <v>618</v>
      </c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63.75" customHeight="1">
      <c r="A20" s="182"/>
      <c r="B20" s="169"/>
      <c r="C20" s="169"/>
      <c r="D20" s="169"/>
      <c r="E20" s="169"/>
      <c r="F20" s="173" t="s">
        <v>45</v>
      </c>
      <c r="G20" s="174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63.75" customHeight="1">
      <c r="A21" s="182"/>
      <c r="B21" s="170"/>
      <c r="C21" s="170"/>
      <c r="D21" s="170"/>
      <c r="E21" s="170"/>
      <c r="F21" s="94">
        <v>0</v>
      </c>
      <c r="G21" s="160" t="s">
        <v>267</v>
      </c>
      <c r="H21" s="170"/>
      <c r="I21" s="170"/>
      <c r="J21" s="170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48.75" customHeight="1">
      <c r="A22" s="182"/>
      <c r="B22" s="180" t="s">
        <v>619</v>
      </c>
      <c r="C22" s="168" t="s">
        <v>620</v>
      </c>
      <c r="D22" s="168" t="s">
        <v>208</v>
      </c>
      <c r="E22" s="168" t="s">
        <v>40</v>
      </c>
      <c r="F22" s="94">
        <v>95</v>
      </c>
      <c r="G22" s="96" t="s">
        <v>267</v>
      </c>
      <c r="H22" s="168" t="s">
        <v>621</v>
      </c>
      <c r="I22" s="168" t="s">
        <v>622</v>
      </c>
      <c r="J22" s="168" t="s">
        <v>623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30.75" customHeight="1">
      <c r="A23" s="182"/>
      <c r="B23" s="169"/>
      <c r="C23" s="169"/>
      <c r="D23" s="169"/>
      <c r="E23" s="169"/>
      <c r="F23" s="173" t="s">
        <v>45</v>
      </c>
      <c r="G23" s="174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108" customHeight="1">
      <c r="A24" s="182"/>
      <c r="B24" s="170"/>
      <c r="C24" s="170"/>
      <c r="D24" s="170"/>
      <c r="E24" s="170"/>
      <c r="F24" s="94">
        <v>0</v>
      </c>
      <c r="G24" s="160" t="s">
        <v>267</v>
      </c>
      <c r="H24" s="170"/>
      <c r="I24" s="170"/>
      <c r="J24" s="170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117.75" customHeight="1">
      <c r="A25" s="182"/>
      <c r="B25" s="168" t="s">
        <v>624</v>
      </c>
      <c r="C25" s="168" t="s">
        <v>625</v>
      </c>
      <c r="D25" s="168" t="s">
        <v>626</v>
      </c>
      <c r="E25" s="168" t="s">
        <v>40</v>
      </c>
      <c r="F25" s="94">
        <v>80</v>
      </c>
      <c r="G25" s="96" t="s">
        <v>627</v>
      </c>
      <c r="H25" s="168" t="s">
        <v>628</v>
      </c>
      <c r="I25" s="168" t="s">
        <v>629</v>
      </c>
      <c r="J25" s="168" t="s">
        <v>630</v>
      </c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54.75" customHeight="1">
      <c r="A26" s="182"/>
      <c r="B26" s="169"/>
      <c r="C26" s="169"/>
      <c r="D26" s="169"/>
      <c r="E26" s="169"/>
      <c r="F26" s="173" t="s">
        <v>45</v>
      </c>
      <c r="G26" s="174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72.75" customHeight="1">
      <c r="A27" s="182"/>
      <c r="B27" s="170"/>
      <c r="C27" s="170"/>
      <c r="D27" s="170"/>
      <c r="E27" s="170"/>
      <c r="F27" s="94">
        <v>0</v>
      </c>
      <c r="G27" s="160" t="s">
        <v>631</v>
      </c>
      <c r="H27" s="170"/>
      <c r="I27" s="170"/>
      <c r="J27" s="170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73.5" customHeight="1">
      <c r="A28" s="182"/>
      <c r="B28" s="168" t="s">
        <v>632</v>
      </c>
      <c r="C28" s="168" t="s">
        <v>633</v>
      </c>
      <c r="D28" s="168" t="s">
        <v>208</v>
      </c>
      <c r="E28" s="168" t="s">
        <v>40</v>
      </c>
      <c r="F28" s="94">
        <v>95</v>
      </c>
      <c r="G28" s="96" t="s">
        <v>267</v>
      </c>
      <c r="H28" s="168" t="s">
        <v>634</v>
      </c>
      <c r="I28" s="168" t="s">
        <v>635</v>
      </c>
      <c r="J28" s="168" t="s">
        <v>636</v>
      </c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51.75" customHeight="1" thickBot="1">
      <c r="A29" s="182"/>
      <c r="B29" s="169"/>
      <c r="C29" s="169"/>
      <c r="D29" s="169"/>
      <c r="E29" s="169"/>
      <c r="F29" s="173" t="s">
        <v>45</v>
      </c>
      <c r="G29" s="174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72.75" customHeight="1" thickBot="1">
      <c r="A30" s="183"/>
      <c r="B30" s="170"/>
      <c r="C30" s="170"/>
      <c r="D30" s="170"/>
      <c r="E30" s="170"/>
      <c r="F30" s="94">
        <v>0</v>
      </c>
      <c r="G30" s="160" t="s">
        <v>267</v>
      </c>
      <c r="H30" s="170"/>
      <c r="I30" s="170"/>
      <c r="J30" s="170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51.75" customHeight="1" thickBot="1">
      <c r="A31" s="162" t="s">
        <v>80</v>
      </c>
      <c r="B31" s="165" t="s">
        <v>637</v>
      </c>
      <c r="C31" s="168" t="s">
        <v>638</v>
      </c>
      <c r="D31" s="168" t="s">
        <v>208</v>
      </c>
      <c r="E31" s="168" t="s">
        <v>40</v>
      </c>
      <c r="F31" s="94">
        <v>76</v>
      </c>
      <c r="G31" s="92" t="s">
        <v>639</v>
      </c>
      <c r="H31" s="168" t="s">
        <v>640</v>
      </c>
      <c r="I31" s="168" t="s">
        <v>641</v>
      </c>
      <c r="J31" s="168" t="s">
        <v>642</v>
      </c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34.5" customHeight="1" thickBot="1">
      <c r="A32" s="163"/>
      <c r="B32" s="166"/>
      <c r="C32" s="169"/>
      <c r="D32" s="169"/>
      <c r="E32" s="169"/>
      <c r="F32" s="171" t="s">
        <v>45</v>
      </c>
      <c r="G32" s="172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55.5" customHeight="1" thickBot="1">
      <c r="A33" s="163"/>
      <c r="B33" s="166"/>
      <c r="C33" s="170"/>
      <c r="D33" s="169"/>
      <c r="E33" s="169"/>
      <c r="F33" s="94">
        <v>0</v>
      </c>
      <c r="G33" s="92" t="s">
        <v>639</v>
      </c>
      <c r="H33" s="170"/>
      <c r="I33" s="170"/>
      <c r="J33" s="170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61.5" customHeight="1" thickBot="1">
      <c r="A34" s="163"/>
      <c r="B34" s="166"/>
      <c r="C34" s="168" t="s">
        <v>643</v>
      </c>
      <c r="D34" s="169"/>
      <c r="E34" s="169"/>
      <c r="F34" s="94">
        <v>4</v>
      </c>
      <c r="G34" s="92" t="s">
        <v>644</v>
      </c>
      <c r="H34" s="168" t="s">
        <v>645</v>
      </c>
      <c r="I34" s="168" t="s">
        <v>646</v>
      </c>
      <c r="J34" s="168" t="s">
        <v>647</v>
      </c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61.5" customHeight="1" thickBot="1">
      <c r="A35" s="163"/>
      <c r="B35" s="166"/>
      <c r="C35" s="169"/>
      <c r="D35" s="169"/>
      <c r="E35" s="169"/>
      <c r="F35" s="171" t="s">
        <v>45</v>
      </c>
      <c r="G35" s="172"/>
      <c r="H35" s="169"/>
      <c r="I35" s="169"/>
      <c r="J35" s="169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61.5" customHeight="1" thickBot="1">
      <c r="A36" s="163"/>
      <c r="B36" s="167"/>
      <c r="C36" s="170"/>
      <c r="D36" s="170"/>
      <c r="E36" s="170"/>
      <c r="F36" s="94">
        <v>0</v>
      </c>
      <c r="G36" s="92" t="s">
        <v>648</v>
      </c>
      <c r="H36" s="170"/>
      <c r="I36" s="170"/>
      <c r="J36" s="170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36" customHeight="1" thickBot="1">
      <c r="A37" s="163"/>
      <c r="B37" s="165" t="s">
        <v>649</v>
      </c>
      <c r="C37" s="168" t="s">
        <v>650</v>
      </c>
      <c r="D37" s="168" t="s">
        <v>208</v>
      </c>
      <c r="E37" s="168" t="s">
        <v>40</v>
      </c>
      <c r="F37" s="94">
        <v>172</v>
      </c>
      <c r="G37" s="92" t="s">
        <v>651</v>
      </c>
      <c r="H37" s="168" t="s">
        <v>652</v>
      </c>
      <c r="I37" s="168" t="s">
        <v>653</v>
      </c>
      <c r="J37" s="168" t="s">
        <v>654</v>
      </c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36" customHeight="1" thickBot="1">
      <c r="A38" s="163"/>
      <c r="B38" s="166"/>
      <c r="C38" s="169"/>
      <c r="D38" s="169"/>
      <c r="E38" s="169"/>
      <c r="F38" s="171" t="s">
        <v>45</v>
      </c>
      <c r="G38" s="172"/>
      <c r="H38" s="169"/>
      <c r="I38" s="169"/>
      <c r="J38" s="169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36" customHeight="1" thickBot="1">
      <c r="A39" s="163"/>
      <c r="B39" s="166"/>
      <c r="C39" s="170"/>
      <c r="D39" s="169"/>
      <c r="E39" s="169"/>
      <c r="F39" s="94">
        <v>0</v>
      </c>
      <c r="G39" s="92" t="s">
        <v>655</v>
      </c>
      <c r="H39" s="170"/>
      <c r="I39" s="170"/>
      <c r="J39" s="170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36" customHeight="1" thickBot="1">
      <c r="A40" s="163"/>
      <c r="B40" s="166"/>
      <c r="C40" s="168" t="s">
        <v>656</v>
      </c>
      <c r="D40" s="169"/>
      <c r="E40" s="169"/>
      <c r="F40" s="94">
        <v>30</v>
      </c>
      <c r="G40" s="92" t="s">
        <v>657</v>
      </c>
      <c r="H40" s="168" t="s">
        <v>658</v>
      </c>
      <c r="I40" s="168" t="s">
        <v>659</v>
      </c>
      <c r="J40" s="168" t="s">
        <v>660</v>
      </c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36" customHeight="1" thickBot="1">
      <c r="A41" s="163"/>
      <c r="B41" s="166"/>
      <c r="C41" s="169"/>
      <c r="D41" s="169"/>
      <c r="E41" s="169"/>
      <c r="F41" s="171" t="s">
        <v>45</v>
      </c>
      <c r="G41" s="172"/>
      <c r="H41" s="169"/>
      <c r="I41" s="169"/>
      <c r="J41" s="169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08.75" customHeight="1" thickBot="1">
      <c r="A42" s="163"/>
      <c r="B42" s="167"/>
      <c r="C42" s="170"/>
      <c r="D42" s="170"/>
      <c r="E42" s="170"/>
      <c r="F42" s="94">
        <v>0</v>
      </c>
      <c r="G42" s="92" t="s">
        <v>661</v>
      </c>
      <c r="H42" s="170"/>
      <c r="I42" s="170"/>
      <c r="J42" s="170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36" customHeight="1" thickBot="1">
      <c r="A43" s="163"/>
      <c r="B43" s="165" t="s">
        <v>662</v>
      </c>
      <c r="C43" s="168" t="s">
        <v>663</v>
      </c>
      <c r="D43" s="168" t="s">
        <v>208</v>
      </c>
      <c r="E43" s="168" t="s">
        <v>40</v>
      </c>
      <c r="F43" s="94">
        <v>100</v>
      </c>
      <c r="G43" s="92" t="s">
        <v>664</v>
      </c>
      <c r="H43" s="168" t="s">
        <v>665</v>
      </c>
      <c r="I43" s="168" t="s">
        <v>659</v>
      </c>
      <c r="J43" s="184" t="s">
        <v>666</v>
      </c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36" customHeight="1" thickBot="1">
      <c r="A44" s="163"/>
      <c r="B44" s="166"/>
      <c r="C44" s="169"/>
      <c r="D44" s="169"/>
      <c r="E44" s="169"/>
      <c r="F44" s="173" t="s">
        <v>45</v>
      </c>
      <c r="G44" s="172"/>
      <c r="H44" s="169"/>
      <c r="I44" s="169"/>
      <c r="J44" s="169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21.5" customHeight="1" thickBot="1">
      <c r="A45" s="163"/>
      <c r="B45" s="166"/>
      <c r="C45" s="170"/>
      <c r="D45" s="169"/>
      <c r="E45" s="169"/>
      <c r="F45" s="94">
        <v>0</v>
      </c>
      <c r="G45" s="92" t="s">
        <v>667</v>
      </c>
      <c r="H45" s="170"/>
      <c r="I45" s="170"/>
      <c r="J45" s="170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63" customHeight="1" thickBot="1">
      <c r="A46" s="163"/>
      <c r="B46" s="166"/>
      <c r="C46" s="168" t="s">
        <v>668</v>
      </c>
      <c r="D46" s="169"/>
      <c r="E46" s="169"/>
      <c r="F46" s="94">
        <v>90</v>
      </c>
      <c r="G46" s="92" t="s">
        <v>669</v>
      </c>
      <c r="H46" s="168" t="s">
        <v>670</v>
      </c>
      <c r="I46" s="168" t="s">
        <v>659</v>
      </c>
      <c r="J46" s="168" t="s">
        <v>671</v>
      </c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72" customHeight="1" thickBot="1">
      <c r="A47" s="163"/>
      <c r="B47" s="166"/>
      <c r="C47" s="169"/>
      <c r="D47" s="169"/>
      <c r="E47" s="169"/>
      <c r="F47" s="173" t="s">
        <v>45</v>
      </c>
      <c r="G47" s="172"/>
      <c r="H47" s="169"/>
      <c r="I47" s="169"/>
      <c r="J47" s="169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72" customHeight="1" thickBot="1">
      <c r="A48" s="163"/>
      <c r="B48" s="167"/>
      <c r="C48" s="170"/>
      <c r="D48" s="170"/>
      <c r="E48" s="170"/>
      <c r="F48" s="94">
        <v>0</v>
      </c>
      <c r="G48" s="92" t="s">
        <v>672</v>
      </c>
      <c r="H48" s="170"/>
      <c r="I48" s="170"/>
      <c r="J48" s="170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72" customHeight="1" thickBot="1">
      <c r="A49" s="163"/>
      <c r="B49" s="165" t="s">
        <v>673</v>
      </c>
      <c r="C49" s="176" t="s">
        <v>674</v>
      </c>
      <c r="D49" s="168" t="s">
        <v>208</v>
      </c>
      <c r="E49" s="168" t="s">
        <v>40</v>
      </c>
      <c r="F49" s="97">
        <v>8</v>
      </c>
      <c r="G49" s="92" t="s">
        <v>675</v>
      </c>
      <c r="H49" s="168" t="s">
        <v>676</v>
      </c>
      <c r="I49" s="168" t="s">
        <v>677</v>
      </c>
      <c r="J49" s="168" t="s">
        <v>678</v>
      </c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72" customHeight="1" thickBot="1">
      <c r="A50" s="163"/>
      <c r="B50" s="166"/>
      <c r="C50" s="177"/>
      <c r="D50" s="169"/>
      <c r="E50" s="169"/>
      <c r="F50" s="171" t="s">
        <v>45</v>
      </c>
      <c r="G50" s="172"/>
      <c r="H50" s="185"/>
      <c r="I50" s="169"/>
      <c r="J50" s="169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72" customHeight="1" thickBot="1">
      <c r="A51" s="163"/>
      <c r="B51" s="166"/>
      <c r="C51" s="178"/>
      <c r="D51" s="170"/>
      <c r="E51" s="170"/>
      <c r="F51" s="97">
        <v>0</v>
      </c>
      <c r="G51" s="92" t="s">
        <v>679</v>
      </c>
      <c r="H51" s="161">
        <v>0.8</v>
      </c>
      <c r="I51" s="170"/>
      <c r="J51" s="170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72" customHeight="1" thickBot="1">
      <c r="A52" s="163"/>
      <c r="B52" s="175" t="s">
        <v>680</v>
      </c>
      <c r="C52" s="165" t="s">
        <v>681</v>
      </c>
      <c r="D52" s="168" t="s">
        <v>208</v>
      </c>
      <c r="E52" s="168" t="s">
        <v>40</v>
      </c>
      <c r="F52" s="97">
        <v>50</v>
      </c>
      <c r="G52" s="92" t="s">
        <v>682</v>
      </c>
      <c r="H52" s="168" t="s">
        <v>683</v>
      </c>
      <c r="I52" s="168" t="s">
        <v>684</v>
      </c>
      <c r="J52" s="168" t="s">
        <v>685</v>
      </c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72" customHeight="1" thickBot="1">
      <c r="A53" s="163"/>
      <c r="B53" s="163"/>
      <c r="C53" s="166"/>
      <c r="D53" s="169"/>
      <c r="E53" s="169"/>
      <c r="F53" s="171" t="s">
        <v>45</v>
      </c>
      <c r="G53" s="172"/>
      <c r="H53" s="169"/>
      <c r="I53" s="169"/>
      <c r="J53" s="169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72" customHeight="1" thickBot="1">
      <c r="A54" s="164"/>
      <c r="B54" s="164"/>
      <c r="C54" s="167"/>
      <c r="D54" s="170"/>
      <c r="E54" s="170"/>
      <c r="F54" s="97">
        <v>0</v>
      </c>
      <c r="G54" s="92" t="s">
        <v>686</v>
      </c>
      <c r="H54" s="170"/>
      <c r="I54" s="170"/>
      <c r="J54" s="170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5.7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5.7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5.7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5.7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5.7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5.7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5.7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5.7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5.7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5.7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5.7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5.7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5.7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5.7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5.7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5.7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5.7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5.7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5.7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5.7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5.7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5.7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5.7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5.7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5.7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5.7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5.7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5.7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5.7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5.7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5.7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5.7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5.7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5.7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5.7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5.7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5.7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5.7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5.7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5.7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5.7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5.7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5.7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5.7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5.7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5.7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5.7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5.7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5.7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5.7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5.7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5.7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5.7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5.7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5.7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5.7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5.7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5.7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5.7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5.7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5.7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5.7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5.7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5.7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5.7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5.7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5.7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5.7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5.7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5.7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5.7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5.7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5.7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5.7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5.7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5.7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5.7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5.7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5.7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5.7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5.7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5.7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5.7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5.7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5.7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5.7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5.7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5.7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5.7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5.7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5.7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5.7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5.7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5.7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5.7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5.7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5.7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5.7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5.7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5.7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5.7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5.7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5.7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5.7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5.7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5.7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5.7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5.7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5.7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5.7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5.7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5.7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5.7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5.7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5.7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5.7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5.7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5.7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5.7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5.7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5.7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5.7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5.7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5.7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5.7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5.7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5.7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5.7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5.7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5.7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5.7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5.7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5.7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5.7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5.7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5.7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5.7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5.7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5.7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5.7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5.7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5.7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5.7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5.7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5.7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5.7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5.7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5.7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5.7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5.7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5.7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5.7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5.7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5.7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5.7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5.7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5.7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5.7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5.7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5.7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5.7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5.7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5.7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5.7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5.7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5.7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5.7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5.7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5.7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5.7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5.7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5.7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5.7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5.7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5.7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5.7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5.7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5.7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5.7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5.7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5.7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5.7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5.7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5.7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5.7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5.7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5.7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5.7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5.7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5.7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5.7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5.7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5.7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5.7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5.7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5.7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5.7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5.7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5.7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5.7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5.7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5.7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5.7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5.7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5.7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5.7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5.7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5.7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5.7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5.7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5.7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5.7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5.7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5.7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5.7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5.7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5.7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5.7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5.7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5.7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5.7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5.7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5.7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5.7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5.7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5.7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5.7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5.7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5.7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5.7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5.7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5.7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5.7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5.7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5.7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5.7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5.7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5.7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5.7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5.7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5.7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5.7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5.7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5.7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5.7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5.7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5.7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5.7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5.7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5.7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5.7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5.7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5.7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5.7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5.7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5.7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5.7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5.7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5.7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5.7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5.7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5.7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5.7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5.7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5.7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5.7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5.7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5.7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5.7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5.7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5.7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5.7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5.7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5.7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5.7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5.7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5.7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5.7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5.7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5.7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5.7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5.7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5.7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5.7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5.7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5.7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5.7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5.7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5.7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5.7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5.7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5.7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5.7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5.7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5.7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5.7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5.7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5.7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5.7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5.7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5.7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5.7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5.7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5.7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5.7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5.7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5.7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5.7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5.7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5.7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5.7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5.7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5.7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5.7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5.7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5.7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5.7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5.7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5.7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5.7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5.7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5.7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5.7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5.7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5.7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5.7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5.7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5.7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5.7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5.7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5.7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5.7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5.7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5.7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5.7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5.7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5.7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5.7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5.7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5.7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5.7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5.7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5.7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5.7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5.7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5.7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5.7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5.7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5.7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5.7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5.7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5.7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5.7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5.7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5.7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5.7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5.7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5.7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5.7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5.7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5.7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5.7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5.7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5.7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5.7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5.7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5.7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5.7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5.7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5.7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5.7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5.7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5.7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5.7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5.7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5.7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5.7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5.7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5.7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5.7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5.7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5.7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5.7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5.7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5.7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5.7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5.7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5.7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5.7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5.7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5.7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5.7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5.7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5.7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5.7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5.7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5.7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5.7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5.7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5.7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5.7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5.7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5.7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5.7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5.7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5.7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5.7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5.7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5.7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5.7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5.7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5.7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5.7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5.7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5.7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5.7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5.7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5.7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5.7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5.7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5.7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5.7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5.7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5.7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5.7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5.7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5.7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5.7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5.7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5.7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5.7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5.7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5.7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5.7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5.7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5.7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5.7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5.7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5.7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5.7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5.7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5.7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5.7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5.7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5.7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5.7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5.7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5.7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5.7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5.7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5.7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5.7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5.7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5.7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5.7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5.7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5.7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5.7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5.7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5.7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5.7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5.7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5.7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5.7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5.7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5.7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5.7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5.7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5.7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5.7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5.7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5.7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5.7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5.7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5.7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5.7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5.7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5.7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5.7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5.7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5.7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5.7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5.7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5.7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5.7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5.7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5.7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5.7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5.7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5.7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5.7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5.7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5.7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5.7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5.7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5.7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5.7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5.7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5.7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5.7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5.7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5.7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5.7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5.7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5.7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5.7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5.7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5.7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5.7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5.7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5.7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5.7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5.7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5.7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5.7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5.7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5.7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5.7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5.7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5.7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5.7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5.7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5.7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5.7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5.7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5.7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5.7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5.7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5.7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5.7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5.7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5.7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5.7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5.7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5.7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5.7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5.7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5.7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5.7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5.7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5.7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5.7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5.7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5.7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5.7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5.7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5.7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5.7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5.7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5.7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5.7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5.7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5.7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5.7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5.7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5.7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5.7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5.7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5.7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5.7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5.7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5.7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5.7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5.7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5.7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5.7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5.7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5.7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5.7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5.7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5.7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5.7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5.7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5.7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5.7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5.7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5.7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5.7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5.7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5.7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5.7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5.7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5.7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5.7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5.7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5.7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5.7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5.7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5.7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5.7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5.7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5.7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5.7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5.7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5.7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5.7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5.7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5.7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5.7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5.7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5.7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5.7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5.7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5.7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5.7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5.7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5.7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5.7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5.7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5.7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5.7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5.7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5.7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5.7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5.7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5.7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5.7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5.7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5.7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5.7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5.7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5.7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5.7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5.7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5.7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5.7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5.7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5.7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5.7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5.7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5.7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5.7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5.7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5.7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5.7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5.7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5.7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5.7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5.7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5.7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5.7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5.7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5.7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5.7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5.7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5.7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5.7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5.7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5.7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5.7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5.7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5.7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5.7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5.7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5.7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5.7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5.7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5.7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5.7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5.7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5.7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5.7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5.7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5.7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5.7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5.7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5.7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5.7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5.7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5.7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5.7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5.7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5.7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5.7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5.7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5.7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5.7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5.7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5.7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5.7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5.7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5.7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5.7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5.7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5.7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5.7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5.7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5.7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5.7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5.7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5.7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5.7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5.7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5.7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5.7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5.7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5.7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5.7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5.7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5.7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5.7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5.7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5.7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5.7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5.7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5.7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5.7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5.7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5.7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5.7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5.7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5.7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5.7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5.7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5.7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5.7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5.7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5.7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5.7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5.7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5.7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5.7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5.7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5.7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5.7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5.7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5.7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5.7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5.7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5.7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5.7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5.7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5.7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5.7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5.7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5.7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5.7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5.7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5.7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5.7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5.7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5.7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5.7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5.7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5.7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5.7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5.7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5.7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5.7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5.7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5.7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5.7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5.7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5.7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5.7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5.7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5.7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5.7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5.7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5.7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5.7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5.7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5.7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5.7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5.7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5.7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5.7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5.7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5.7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5.7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5.7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5.7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5.7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5.7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5.7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5.7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5.7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5.7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5.7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5.7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5.7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5.7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5.7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5.7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5.7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5.7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5.7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5.7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5.7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5.7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5.7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5.7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5.7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5.7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5.7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5.7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5.7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5.7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5.7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5.7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5.7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5.7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5.7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5.7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5.7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5.7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5.7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5.7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5.7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5.7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5.7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5.7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5.7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5.7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5.7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5.7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5.7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5.7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5.7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5.7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5.7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5.7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5.7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5.7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5.7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5.7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5.7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5.7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5.7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5.7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5.7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5.7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5.7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5.7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5.7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5.7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5.7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5.7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5.7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5.7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5.7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5.7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5.7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5.7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5.7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5.7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5.7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5.7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5.7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5.7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5.7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5.7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5.7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5.7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5.7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5.7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5.7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5.7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5.7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5.7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5.7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5.7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5.7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5.7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5.7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5.7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5.7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5.7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5.7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5.7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5.7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5.7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5.7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5.7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5.7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5.7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5.7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5.7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5.7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5.7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5.7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5.7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5.7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5.7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5.7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5.7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5.7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5.7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5.7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5.7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5.7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141">
    <mergeCell ref="A1:B2"/>
    <mergeCell ref="C1:G2"/>
    <mergeCell ref="I1:J1"/>
    <mergeCell ref="I2:J2"/>
    <mergeCell ref="H3:J3"/>
    <mergeCell ref="F4:G4"/>
    <mergeCell ref="B4:C4"/>
    <mergeCell ref="A5:B5"/>
    <mergeCell ref="C5:E5"/>
    <mergeCell ref="A3:D3"/>
    <mergeCell ref="E3:G3"/>
    <mergeCell ref="F5:G6"/>
    <mergeCell ref="H5:H6"/>
    <mergeCell ref="I5:I6"/>
    <mergeCell ref="J5:J6"/>
    <mergeCell ref="J10:J12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I19:I21"/>
    <mergeCell ref="H10:H12"/>
    <mergeCell ref="F11:G11"/>
    <mergeCell ref="A10:A12"/>
    <mergeCell ref="B10:B12"/>
    <mergeCell ref="C10:C12"/>
    <mergeCell ref="D10:D12"/>
    <mergeCell ref="E10:E12"/>
    <mergeCell ref="I10:I12"/>
    <mergeCell ref="H31:H33"/>
    <mergeCell ref="I31:I33"/>
    <mergeCell ref="J31:J33"/>
    <mergeCell ref="B16:B18"/>
    <mergeCell ref="B22:B24"/>
    <mergeCell ref="B19:B21"/>
    <mergeCell ref="C19:C21"/>
    <mergeCell ref="C25:C27"/>
    <mergeCell ref="D25:D27"/>
    <mergeCell ref="E25:E27"/>
    <mergeCell ref="D28:D30"/>
    <mergeCell ref="E28:E30"/>
    <mergeCell ref="C28:C30"/>
    <mergeCell ref="D19:D21"/>
    <mergeCell ref="E19:E21"/>
    <mergeCell ref="H16:H18"/>
    <mergeCell ref="I16:I18"/>
    <mergeCell ref="C22:C24"/>
    <mergeCell ref="D22:D24"/>
    <mergeCell ref="C16:C18"/>
    <mergeCell ref="D16:D18"/>
    <mergeCell ref="E16:E18"/>
    <mergeCell ref="E22:E24"/>
    <mergeCell ref="F23:G23"/>
    <mergeCell ref="H49:H50"/>
    <mergeCell ref="I49:I51"/>
    <mergeCell ref="J49:J51"/>
    <mergeCell ref="C31:C33"/>
    <mergeCell ref="D31:D36"/>
    <mergeCell ref="E31:E36"/>
    <mergeCell ref="C34:C36"/>
    <mergeCell ref="D37:D42"/>
    <mergeCell ref="E37:E42"/>
    <mergeCell ref="C37:C39"/>
    <mergeCell ref="C40:C42"/>
    <mergeCell ref="C43:C45"/>
    <mergeCell ref="D43:D48"/>
    <mergeCell ref="E43:E48"/>
    <mergeCell ref="C46:C48"/>
    <mergeCell ref="F32:G32"/>
    <mergeCell ref="F35:G35"/>
    <mergeCell ref="H37:H39"/>
    <mergeCell ref="I37:I39"/>
    <mergeCell ref="J37:J39"/>
    <mergeCell ref="F38:G38"/>
    <mergeCell ref="H34:H36"/>
    <mergeCell ref="I34:I36"/>
    <mergeCell ref="J34:J36"/>
    <mergeCell ref="F41:G41"/>
    <mergeCell ref="I43:I45"/>
    <mergeCell ref="J43:J45"/>
    <mergeCell ref="F44:G44"/>
    <mergeCell ref="F47:G47"/>
    <mergeCell ref="H43:H45"/>
    <mergeCell ref="H46:H48"/>
    <mergeCell ref="I46:I48"/>
    <mergeCell ref="J46:J48"/>
    <mergeCell ref="J16:J18"/>
    <mergeCell ref="F17:G17"/>
    <mergeCell ref="A13:A15"/>
    <mergeCell ref="B13:B15"/>
    <mergeCell ref="C13:C15"/>
    <mergeCell ref="D13:D15"/>
    <mergeCell ref="E13:E15"/>
    <mergeCell ref="I13:I15"/>
    <mergeCell ref="J13:J15"/>
    <mergeCell ref="A16:A30"/>
    <mergeCell ref="J22:J24"/>
    <mergeCell ref="I25:I27"/>
    <mergeCell ref="J25:J27"/>
    <mergeCell ref="F26:G26"/>
    <mergeCell ref="F29:G29"/>
    <mergeCell ref="H25:H27"/>
    <mergeCell ref="H28:H30"/>
    <mergeCell ref="I28:I30"/>
    <mergeCell ref="J28:J30"/>
    <mergeCell ref="H13:H15"/>
    <mergeCell ref="F14:G14"/>
    <mergeCell ref="H19:H21"/>
    <mergeCell ref="H22:H24"/>
    <mergeCell ref="I22:I24"/>
    <mergeCell ref="A31:A54"/>
    <mergeCell ref="B31:B36"/>
    <mergeCell ref="B37:B42"/>
    <mergeCell ref="B43:B48"/>
    <mergeCell ref="H52:H54"/>
    <mergeCell ref="I52:I54"/>
    <mergeCell ref="J52:J54"/>
    <mergeCell ref="F53:G53"/>
    <mergeCell ref="J19:J21"/>
    <mergeCell ref="F20:G20"/>
    <mergeCell ref="D49:D51"/>
    <mergeCell ref="E49:E51"/>
    <mergeCell ref="F50:G50"/>
    <mergeCell ref="B49:B51"/>
    <mergeCell ref="B52:B54"/>
    <mergeCell ref="C52:C54"/>
    <mergeCell ref="D52:D54"/>
    <mergeCell ref="E52:E54"/>
    <mergeCell ref="B25:B27"/>
    <mergeCell ref="B28:B30"/>
    <mergeCell ref="C49:C51"/>
    <mergeCell ref="H40:H42"/>
    <mergeCell ref="I40:I42"/>
    <mergeCell ref="J40:J42"/>
  </mergeCells>
  <conditionalFormatting sqref="F12">
    <cfRule type="cellIs" dxfId="145" priority="3" operator="greaterThan">
      <formula>$F$10</formula>
    </cfRule>
    <cfRule type="cellIs" dxfId="144" priority="4" operator="lessThan">
      <formula>$F$10</formula>
    </cfRule>
  </conditionalFormatting>
  <conditionalFormatting sqref="F15">
    <cfRule type="cellIs" dxfId="143" priority="5" operator="greaterThan">
      <formula>$F$13</formula>
    </cfRule>
    <cfRule type="cellIs" dxfId="142" priority="6" operator="lessThan">
      <formula>$F$13</formula>
    </cfRule>
  </conditionalFormatting>
  <conditionalFormatting sqref="F18">
    <cfRule type="cellIs" dxfId="141" priority="7" operator="lessThan">
      <formula>$F$16</formula>
    </cfRule>
    <cfRule type="cellIs" dxfId="140" priority="8" operator="greaterThanOrEqual">
      <formula>$F$16</formula>
    </cfRule>
  </conditionalFormatting>
  <conditionalFormatting sqref="F21">
    <cfRule type="cellIs" dxfId="139" priority="9" operator="lessThan">
      <formula>$F$22</formula>
    </cfRule>
    <cfRule type="cellIs" dxfId="138" priority="10" operator="greaterThanOrEqual">
      <formula>$F$22</formula>
    </cfRule>
  </conditionalFormatting>
  <conditionalFormatting sqref="F24">
    <cfRule type="cellIs" dxfId="137" priority="11" operator="lessThan">
      <formula>$F$22</formula>
    </cfRule>
    <cfRule type="cellIs" dxfId="136" priority="12" operator="greaterThanOrEqual">
      <formula>$F$22</formula>
    </cfRule>
  </conditionalFormatting>
  <conditionalFormatting sqref="F27">
    <cfRule type="cellIs" dxfId="135" priority="13" operator="lessThan">
      <formula>$F$22</formula>
    </cfRule>
    <cfRule type="cellIs" dxfId="134" priority="14" operator="greaterThanOrEqual">
      <formula>$F$22</formula>
    </cfRule>
  </conditionalFormatting>
  <conditionalFormatting sqref="F30">
    <cfRule type="cellIs" dxfId="133" priority="15" operator="lessThan">
      <formula>$F$22</formula>
    </cfRule>
    <cfRule type="cellIs" dxfId="132" priority="16" operator="greaterThanOrEqual">
      <formula>$F$22</formula>
    </cfRule>
  </conditionalFormatting>
  <conditionalFormatting sqref="F33">
    <cfRule type="cellIs" dxfId="131" priority="17" operator="lessThan">
      <formula>$F$22</formula>
    </cfRule>
    <cfRule type="cellIs" dxfId="130" priority="18" operator="greaterThanOrEqual">
      <formula>$F$22</formula>
    </cfRule>
  </conditionalFormatting>
  <conditionalFormatting sqref="F36">
    <cfRule type="cellIs" dxfId="129" priority="19" operator="lessThan">
      <formula>$F$22</formula>
    </cfRule>
    <cfRule type="cellIs" dxfId="128" priority="20" operator="greaterThanOrEqual">
      <formula>$F$22</formula>
    </cfRule>
  </conditionalFormatting>
  <conditionalFormatting sqref="F39">
    <cfRule type="cellIs" dxfId="127" priority="21" operator="lessThan">
      <formula>$F$22</formula>
    </cfRule>
    <cfRule type="cellIs" dxfId="126" priority="22" operator="greaterThanOrEqual">
      <formula>$F$22</formula>
    </cfRule>
  </conditionalFormatting>
  <conditionalFormatting sqref="F42">
    <cfRule type="cellIs" dxfId="125" priority="23" operator="lessThan">
      <formula>$F$22</formula>
    </cfRule>
    <cfRule type="cellIs" dxfId="124" priority="24" operator="greaterThanOrEqual">
      <formula>$F$22</formula>
    </cfRule>
  </conditionalFormatting>
  <conditionalFormatting sqref="F45">
    <cfRule type="cellIs" dxfId="123" priority="25" operator="lessThan">
      <formula>$F$22</formula>
    </cfRule>
    <cfRule type="cellIs" dxfId="122" priority="26" operator="greaterThanOrEqual">
      <formula>$F$22</formula>
    </cfRule>
  </conditionalFormatting>
  <conditionalFormatting sqref="F48">
    <cfRule type="cellIs" dxfId="121" priority="27" operator="lessThan">
      <formula>$F$22</formula>
    </cfRule>
    <cfRule type="cellIs" dxfId="120" priority="28" operator="greaterThanOrEqual">
      <formula>$F$22</formula>
    </cfRule>
  </conditionalFormatting>
  <conditionalFormatting sqref="F51">
    <cfRule type="cellIs" dxfId="119" priority="29" operator="lessThan">
      <formula>$F$22</formula>
    </cfRule>
    <cfRule type="cellIs" dxfId="118" priority="30" operator="greaterThanOrEqual">
      <formula>$F$22</formula>
    </cfRule>
  </conditionalFormatting>
  <conditionalFormatting sqref="F54">
    <cfRule type="cellIs" dxfId="117" priority="31" operator="lessThan">
      <formula>$F$22</formula>
    </cfRule>
    <cfRule type="cellIs" dxfId="116" priority="32" operator="greaterThanOrEqual">
      <formula>$F$22</formula>
    </cfRule>
  </conditionalFormatting>
  <conditionalFormatting sqref="J4">
    <cfRule type="cellIs" dxfId="115" priority="1" operator="lessThan">
      <formula>$H$4</formula>
    </cfRule>
    <cfRule type="cellIs" dxfId="114" priority="2" operator="greaterThan">
      <formula>$H$4</formula>
    </cfRule>
  </conditionalFormatting>
  <pageMargins left="0.25" right="0.25" top="0.75" bottom="0.75" header="0" footer="0"/>
  <pageSetup scale="32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0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21.875" customWidth="1"/>
    <col min="2" max="2" width="31.375" customWidth="1"/>
    <col min="3" max="3" width="22.875" customWidth="1"/>
    <col min="4" max="4" width="29.875" customWidth="1"/>
    <col min="5" max="5" width="33.375" customWidth="1"/>
    <col min="6" max="6" width="10.875" customWidth="1"/>
    <col min="7" max="7" width="28.625" customWidth="1"/>
    <col min="8" max="8" width="20.125" customWidth="1"/>
    <col min="9" max="9" width="27" customWidth="1"/>
    <col min="10" max="10" width="17.375" customWidth="1"/>
    <col min="11" max="26" width="10.5" customWidth="1"/>
  </cols>
  <sheetData>
    <row r="1" spans="1:26" ht="15.75" customHeight="1">
      <c r="A1" s="362"/>
      <c r="B1" s="348"/>
      <c r="C1" s="362" t="s">
        <v>220</v>
      </c>
      <c r="D1" s="350"/>
      <c r="E1" s="350"/>
      <c r="F1" s="350"/>
      <c r="G1" s="336"/>
      <c r="H1" s="24" t="s">
        <v>167</v>
      </c>
      <c r="I1" s="363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54.5" customHeight="1">
      <c r="A2" s="337"/>
      <c r="B2" s="349"/>
      <c r="C2" s="337"/>
      <c r="D2" s="351"/>
      <c r="E2" s="351"/>
      <c r="F2" s="351"/>
      <c r="G2" s="338"/>
      <c r="H2" s="24" t="s">
        <v>169</v>
      </c>
      <c r="I2" s="364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43" t="s">
        <v>4</v>
      </c>
      <c r="B3" s="360"/>
      <c r="C3" s="360"/>
      <c r="D3" s="360"/>
      <c r="E3" s="360"/>
      <c r="F3" s="374"/>
      <c r="G3" s="35"/>
      <c r="H3" s="355">
        <v>1105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48" customHeight="1">
      <c r="A4" s="26" t="s">
        <v>170</v>
      </c>
      <c r="B4" s="330" t="s">
        <v>601</v>
      </c>
      <c r="C4" s="322"/>
      <c r="D4" s="27" t="s">
        <v>8</v>
      </c>
      <c r="E4" s="12">
        <v>2024</v>
      </c>
      <c r="F4" s="441" t="s">
        <v>172</v>
      </c>
      <c r="G4" s="340"/>
      <c r="H4" s="13">
        <v>1020000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442" t="s">
        <v>687</v>
      </c>
      <c r="D5" s="321"/>
      <c r="E5" s="322"/>
      <c r="F5" s="346" t="s">
        <v>175</v>
      </c>
      <c r="G5" s="340"/>
      <c r="H5" s="440">
        <v>100210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26" t="s">
        <v>18</v>
      </c>
      <c r="B6" s="28" t="s">
        <v>19</v>
      </c>
      <c r="C6" s="17" t="s">
        <v>20</v>
      </c>
      <c r="D6" s="3" t="s">
        <v>21</v>
      </c>
      <c r="E6" s="17" t="s">
        <v>224</v>
      </c>
      <c r="F6" s="358" t="s">
        <v>14</v>
      </c>
      <c r="G6" s="342"/>
      <c r="H6" s="17" t="s">
        <v>178</v>
      </c>
      <c r="I6" s="3" t="s">
        <v>16</v>
      </c>
      <c r="J6" s="40" t="s">
        <v>17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2.75" customHeight="1">
      <c r="A7" s="324" t="s">
        <v>23</v>
      </c>
      <c r="B7" s="325"/>
      <c r="C7" s="326" t="s">
        <v>688</v>
      </c>
      <c r="D7" s="321"/>
      <c r="E7" s="322"/>
      <c r="F7" s="359" t="s">
        <v>24</v>
      </c>
      <c r="G7" s="360"/>
      <c r="H7" s="344"/>
      <c r="I7" s="326" t="s">
        <v>689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>
      <c r="A10" s="315" t="s">
        <v>36</v>
      </c>
      <c r="B10" s="304" t="s">
        <v>690</v>
      </c>
      <c r="C10" s="317" t="s">
        <v>691</v>
      </c>
      <c r="D10" s="307" t="s">
        <v>692</v>
      </c>
      <c r="E10" s="307" t="s">
        <v>40</v>
      </c>
      <c r="F10" s="4">
        <v>103</v>
      </c>
      <c r="G10" s="29" t="s">
        <v>693</v>
      </c>
      <c r="H10" s="304" t="s">
        <v>694</v>
      </c>
      <c r="I10" s="304" t="s">
        <v>695</v>
      </c>
      <c r="J10" s="304" t="s">
        <v>696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51" customHeight="1">
      <c r="A11" s="305"/>
      <c r="B11" s="305"/>
      <c r="C11" s="318"/>
      <c r="D11" s="305"/>
      <c r="E11" s="305"/>
      <c r="F11" s="37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1.75" customHeight="1">
      <c r="A12" s="306"/>
      <c r="B12" s="306"/>
      <c r="C12" s="319"/>
      <c r="D12" s="306"/>
      <c r="E12" s="306"/>
      <c r="F12" s="21" t="e">
        <f>#REF!</f>
        <v>#REF!</v>
      </c>
      <c r="G12" s="29" t="s">
        <v>697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316" t="s">
        <v>47</v>
      </c>
      <c r="B13" s="314" t="s">
        <v>698</v>
      </c>
      <c r="C13" s="307" t="s">
        <v>699</v>
      </c>
      <c r="D13" s="307" t="s">
        <v>700</v>
      </c>
      <c r="E13" s="307" t="s">
        <v>40</v>
      </c>
      <c r="F13" s="4"/>
      <c r="G13" s="29" t="s">
        <v>267</v>
      </c>
      <c r="H13" s="304" t="s">
        <v>701</v>
      </c>
      <c r="I13" s="304" t="s">
        <v>702</v>
      </c>
      <c r="J13" s="304" t="s">
        <v>703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52.5" customHeight="1">
      <c r="A14" s="305"/>
      <c r="B14" s="305"/>
      <c r="C14" s="305"/>
      <c r="D14" s="305"/>
      <c r="E14" s="305"/>
      <c r="F14" s="37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A15" s="306"/>
      <c r="B15" s="306"/>
      <c r="C15" s="306"/>
      <c r="D15" s="306"/>
      <c r="E15" s="306"/>
      <c r="F15" s="21"/>
      <c r="G15" s="29" t="s">
        <v>267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>
      <c r="A16" s="310" t="s">
        <v>56</v>
      </c>
      <c r="B16" s="304" t="s">
        <v>704</v>
      </c>
      <c r="C16" s="307" t="s">
        <v>705</v>
      </c>
      <c r="D16" s="307" t="s">
        <v>208</v>
      </c>
      <c r="E16" s="307" t="s">
        <v>40</v>
      </c>
      <c r="F16" s="4"/>
      <c r="G16" s="29" t="s">
        <v>267</v>
      </c>
      <c r="H16" s="304" t="s">
        <v>706</v>
      </c>
      <c r="I16" s="304" t="s">
        <v>707</v>
      </c>
      <c r="J16" s="304" t="s">
        <v>708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>
      <c r="A17" s="311"/>
      <c r="B17" s="305"/>
      <c r="C17" s="305"/>
      <c r="D17" s="305"/>
      <c r="E17" s="305"/>
      <c r="F17" s="376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81" customHeight="1">
      <c r="A18" s="311"/>
      <c r="B18" s="306"/>
      <c r="C18" s="306"/>
      <c r="D18" s="306"/>
      <c r="E18" s="306"/>
      <c r="F18" s="21"/>
      <c r="G18" s="29" t="s">
        <v>267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>
      <c r="A19" s="311"/>
      <c r="B19" s="304" t="s">
        <v>709</v>
      </c>
      <c r="C19" s="307" t="s">
        <v>710</v>
      </c>
      <c r="D19" s="307" t="s">
        <v>208</v>
      </c>
      <c r="E19" s="307" t="s">
        <v>40</v>
      </c>
      <c r="F19" s="4"/>
      <c r="G19" s="29" t="s">
        <v>267</v>
      </c>
      <c r="H19" s="304" t="s">
        <v>706</v>
      </c>
      <c r="I19" s="304" t="s">
        <v>707</v>
      </c>
      <c r="J19" s="304" t="s">
        <v>711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311"/>
      <c r="B20" s="305"/>
      <c r="C20" s="305"/>
      <c r="D20" s="305"/>
      <c r="E20" s="305"/>
      <c r="F20" s="376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78.75" customHeight="1">
      <c r="A21" s="312"/>
      <c r="B21" s="306"/>
      <c r="C21" s="306"/>
      <c r="D21" s="306"/>
      <c r="E21" s="306"/>
      <c r="F21" s="21"/>
      <c r="G21" s="29" t="s">
        <v>250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315" t="s">
        <v>80</v>
      </c>
      <c r="B22" s="304" t="s">
        <v>712</v>
      </c>
      <c r="C22" s="307" t="s">
        <v>713</v>
      </c>
      <c r="D22" s="307" t="s">
        <v>208</v>
      </c>
      <c r="E22" s="307" t="s">
        <v>40</v>
      </c>
      <c r="F22" s="4"/>
      <c r="G22" s="29" t="s">
        <v>267</v>
      </c>
      <c r="H22" s="304" t="s">
        <v>706</v>
      </c>
      <c r="I22" s="304" t="s">
        <v>707</v>
      </c>
      <c r="J22" s="304" t="s">
        <v>708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305"/>
      <c r="B23" s="305"/>
      <c r="C23" s="305"/>
      <c r="D23" s="305"/>
      <c r="E23" s="305"/>
      <c r="F23" s="376" t="s">
        <v>45</v>
      </c>
      <c r="G23" s="30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84" customHeight="1">
      <c r="A24" s="305"/>
      <c r="B24" s="306"/>
      <c r="C24" s="306"/>
      <c r="D24" s="305"/>
      <c r="E24" s="305"/>
      <c r="F24" s="21"/>
      <c r="G24" s="29" t="s">
        <v>714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31.5" customHeight="1">
      <c r="A25" s="305"/>
      <c r="B25" s="304" t="s">
        <v>715</v>
      </c>
      <c r="C25" s="307" t="s">
        <v>716</v>
      </c>
      <c r="D25" s="305"/>
      <c r="E25" s="305"/>
      <c r="F25" s="4"/>
      <c r="G25" s="29" t="s">
        <v>267</v>
      </c>
      <c r="H25" s="304" t="s">
        <v>706</v>
      </c>
      <c r="I25" s="304" t="s">
        <v>707</v>
      </c>
      <c r="J25" s="304" t="s">
        <v>708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33.75" customHeight="1">
      <c r="A26" s="305"/>
      <c r="B26" s="305"/>
      <c r="C26" s="305"/>
      <c r="D26" s="305"/>
      <c r="E26" s="305"/>
      <c r="F26" s="37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33.75" customHeight="1">
      <c r="A27" s="305"/>
      <c r="B27" s="306"/>
      <c r="C27" s="306"/>
      <c r="D27" s="305"/>
      <c r="E27" s="305"/>
      <c r="F27" s="21"/>
      <c r="G27" s="29" t="s">
        <v>250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5.5" customHeight="1">
      <c r="A28" s="305"/>
      <c r="B28" s="304" t="s">
        <v>717</v>
      </c>
      <c r="C28" s="307" t="s">
        <v>718</v>
      </c>
      <c r="D28" s="305"/>
      <c r="E28" s="305"/>
      <c r="F28" s="4"/>
      <c r="G28" s="29" t="s">
        <v>267</v>
      </c>
      <c r="H28" s="304" t="s">
        <v>706</v>
      </c>
      <c r="I28" s="304" t="s">
        <v>707</v>
      </c>
      <c r="J28" s="304" t="s">
        <v>708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45" customHeight="1">
      <c r="A29" s="305"/>
      <c r="B29" s="305"/>
      <c r="C29" s="305"/>
      <c r="D29" s="305"/>
      <c r="E29" s="305"/>
      <c r="F29" s="37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45" customHeight="1">
      <c r="A30" s="305"/>
      <c r="B30" s="306"/>
      <c r="C30" s="306"/>
      <c r="D30" s="357"/>
      <c r="E30" s="357"/>
      <c r="F30" s="21"/>
      <c r="G30" s="29" t="s">
        <v>250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30" customHeight="1">
      <c r="A31" s="305"/>
      <c r="B31" s="304" t="s">
        <v>719</v>
      </c>
      <c r="C31" s="307" t="s">
        <v>720</v>
      </c>
      <c r="D31" s="307" t="s">
        <v>208</v>
      </c>
      <c r="E31" s="307" t="s">
        <v>40</v>
      </c>
      <c r="F31" s="4"/>
      <c r="G31" s="29" t="s">
        <v>267</v>
      </c>
      <c r="H31" s="304" t="s">
        <v>706</v>
      </c>
      <c r="I31" s="304" t="s">
        <v>707</v>
      </c>
      <c r="J31" s="304" t="s">
        <v>711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4" customHeight="1">
      <c r="A32" s="305"/>
      <c r="B32" s="305"/>
      <c r="C32" s="305"/>
      <c r="D32" s="305"/>
      <c r="E32" s="305"/>
      <c r="F32" s="376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67.5" customHeight="1">
      <c r="A33" s="305"/>
      <c r="B33" s="306"/>
      <c r="C33" s="306"/>
      <c r="D33" s="305"/>
      <c r="E33" s="305"/>
      <c r="F33" s="21"/>
      <c r="G33" s="29" t="s">
        <v>250</v>
      </c>
      <c r="H33" s="306"/>
      <c r="I33" s="306"/>
      <c r="J33" s="30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6.5" customHeight="1">
      <c r="A34" s="305"/>
      <c r="B34" s="304" t="s">
        <v>721</v>
      </c>
      <c r="C34" s="307" t="s">
        <v>722</v>
      </c>
      <c r="D34" s="305"/>
      <c r="E34" s="305"/>
      <c r="F34" s="4"/>
      <c r="G34" s="29" t="s">
        <v>267</v>
      </c>
      <c r="H34" s="304" t="s">
        <v>706</v>
      </c>
      <c r="I34" s="304" t="s">
        <v>707</v>
      </c>
      <c r="J34" s="304" t="s">
        <v>711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305"/>
      <c r="B35" s="305"/>
      <c r="C35" s="305"/>
      <c r="D35" s="305"/>
      <c r="E35" s="305"/>
      <c r="F35" s="376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81.75" customHeight="1">
      <c r="A36" s="306"/>
      <c r="B36" s="306"/>
      <c r="C36" s="306"/>
      <c r="D36" s="306"/>
      <c r="E36" s="306"/>
      <c r="F36" s="21"/>
      <c r="G36" s="29" t="s">
        <v>267</v>
      </c>
      <c r="H36" s="306"/>
      <c r="I36" s="306"/>
      <c r="J36" s="306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94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A10:A12"/>
    <mergeCell ref="B10:B12"/>
    <mergeCell ref="C10:C12"/>
    <mergeCell ref="D10:D12"/>
    <mergeCell ref="E10:E12"/>
    <mergeCell ref="I10:I12"/>
    <mergeCell ref="J10:J12"/>
    <mergeCell ref="B13:B15"/>
    <mergeCell ref="B16:B18"/>
    <mergeCell ref="H13:H15"/>
    <mergeCell ref="F14:G14"/>
    <mergeCell ref="C16:C18"/>
    <mergeCell ref="D16:D18"/>
    <mergeCell ref="E16:E18"/>
    <mergeCell ref="H16:H18"/>
    <mergeCell ref="F17:G17"/>
    <mergeCell ref="I16:I18"/>
    <mergeCell ref="J16:J18"/>
    <mergeCell ref="J13:J15"/>
    <mergeCell ref="H10:H12"/>
    <mergeCell ref="F11:G11"/>
    <mergeCell ref="B19:B21"/>
    <mergeCell ref="C19:C21"/>
    <mergeCell ref="D19:D21"/>
    <mergeCell ref="E19:E21"/>
    <mergeCell ref="H19:H21"/>
    <mergeCell ref="I19:I21"/>
    <mergeCell ref="I13:I15"/>
    <mergeCell ref="H22:H24"/>
    <mergeCell ref="I22:I24"/>
    <mergeCell ref="A22:A36"/>
    <mergeCell ref="B31:B33"/>
    <mergeCell ref="C31:C33"/>
    <mergeCell ref="D31:D36"/>
    <mergeCell ref="E31:E36"/>
    <mergeCell ref="B34:B36"/>
    <mergeCell ref="C34:C36"/>
    <mergeCell ref="A13:A15"/>
    <mergeCell ref="C13:C15"/>
    <mergeCell ref="D13:D15"/>
    <mergeCell ref="E13:E15"/>
    <mergeCell ref="E22:E30"/>
    <mergeCell ref="F29:G29"/>
    <mergeCell ref="I34:I36"/>
    <mergeCell ref="J34:J36"/>
    <mergeCell ref="I28:I30"/>
    <mergeCell ref="J28:J30"/>
    <mergeCell ref="H31:H33"/>
    <mergeCell ref="I31:I33"/>
    <mergeCell ref="J31:J33"/>
    <mergeCell ref="F32:G32"/>
    <mergeCell ref="H34:H36"/>
    <mergeCell ref="F35:G35"/>
    <mergeCell ref="H28:H30"/>
    <mergeCell ref="J19:J21"/>
    <mergeCell ref="F20:G20"/>
    <mergeCell ref="A16:A21"/>
    <mergeCell ref="B22:B24"/>
    <mergeCell ref="C22:C24"/>
    <mergeCell ref="D22:D30"/>
    <mergeCell ref="C25:C27"/>
    <mergeCell ref="C28:C30"/>
    <mergeCell ref="J22:J24"/>
    <mergeCell ref="F23:G23"/>
    <mergeCell ref="B25:B27"/>
    <mergeCell ref="H25:H27"/>
    <mergeCell ref="F26:G26"/>
    <mergeCell ref="I25:I27"/>
    <mergeCell ref="J25:J27"/>
    <mergeCell ref="B28:B30"/>
  </mergeCells>
  <conditionalFormatting sqref="F12">
    <cfRule type="cellIs" dxfId="113" priority="1" operator="lessThan">
      <formula>$F$16</formula>
    </cfRule>
    <cfRule type="cellIs" dxfId="112" priority="2" operator="greaterThanOrEqual">
      <formula>$F$16</formula>
    </cfRule>
  </conditionalFormatting>
  <conditionalFormatting sqref="F15">
    <cfRule type="cellIs" dxfId="111" priority="3" operator="lessThan">
      <formula>$F$16</formula>
    </cfRule>
    <cfRule type="cellIs" dxfId="110" priority="4" operator="greaterThanOrEqual">
      <formula>$F$16</formula>
    </cfRule>
  </conditionalFormatting>
  <conditionalFormatting sqref="F18">
    <cfRule type="cellIs" dxfId="109" priority="5" operator="lessThan">
      <formula>$F$16</formula>
    </cfRule>
    <cfRule type="cellIs" dxfId="108" priority="6" operator="greaterThanOrEqual">
      <formula>$F$16</formula>
    </cfRule>
  </conditionalFormatting>
  <conditionalFormatting sqref="F21">
    <cfRule type="cellIs" dxfId="107" priority="7" operator="lessThan">
      <formula>$F$16</formula>
    </cfRule>
    <cfRule type="cellIs" dxfId="106" priority="8" operator="greaterThanOrEqual">
      <formula>$F$16</formula>
    </cfRule>
  </conditionalFormatting>
  <conditionalFormatting sqref="F24">
    <cfRule type="cellIs" dxfId="105" priority="9" operator="lessThan">
      <formula>$F$16</formula>
    </cfRule>
    <cfRule type="cellIs" dxfId="104" priority="10" operator="greaterThanOrEqual">
      <formula>$F$16</formula>
    </cfRule>
  </conditionalFormatting>
  <conditionalFormatting sqref="F27">
    <cfRule type="cellIs" dxfId="103" priority="11" operator="lessThan">
      <formula>$F$16</formula>
    </cfRule>
    <cfRule type="cellIs" dxfId="102" priority="12" operator="greaterThanOrEqual">
      <formula>$F$16</formula>
    </cfRule>
  </conditionalFormatting>
  <conditionalFormatting sqref="F30">
    <cfRule type="cellIs" dxfId="101" priority="13" operator="lessThan">
      <formula>$F$16</formula>
    </cfRule>
    <cfRule type="cellIs" dxfId="100" priority="14" operator="greaterThanOrEqual">
      <formula>$F$16</formula>
    </cfRule>
  </conditionalFormatting>
  <conditionalFormatting sqref="F33">
    <cfRule type="cellIs" dxfId="99" priority="15" operator="lessThan">
      <formula>$F$16</formula>
    </cfRule>
    <cfRule type="cellIs" dxfId="98" priority="16" operator="greaterThanOrEqual">
      <formula>$F$16</formula>
    </cfRule>
  </conditionalFormatting>
  <conditionalFormatting sqref="F36">
    <cfRule type="cellIs" dxfId="97" priority="17" operator="lessThan">
      <formula>$F$16</formula>
    </cfRule>
    <cfRule type="cellIs" dxfId="96" priority="18" operator="greaterThanOrEqual">
      <formula>$F$16</formula>
    </cfRule>
  </conditionalFormatting>
  <conditionalFormatting sqref="J4">
    <cfRule type="cellIs" dxfId="95" priority="19" operator="lessThan">
      <formula>$H$4</formula>
    </cfRule>
    <cfRule type="cellIs" dxfId="94" priority="20" operator="greaterThan">
      <formula>$H$4</formula>
    </cfRule>
  </conditionalFormatting>
  <pageMargins left="0.7" right="0.7" top="0.75" bottom="0.75" header="0" footer="0"/>
  <pageSetup scale="35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1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29" customWidth="1"/>
    <col min="2" max="2" width="44.625" customWidth="1"/>
    <col min="3" max="3" width="32.625" customWidth="1"/>
    <col min="4" max="4" width="28.875" customWidth="1"/>
    <col min="5" max="5" width="27.125" customWidth="1"/>
    <col min="6" max="6" width="17.375" customWidth="1"/>
    <col min="7" max="7" width="26.875" customWidth="1"/>
    <col min="8" max="8" width="25" customWidth="1"/>
    <col min="9" max="9" width="38.125" customWidth="1"/>
    <col min="10" max="10" width="27.375" customWidth="1"/>
    <col min="11" max="26" width="10.5" customWidth="1"/>
  </cols>
  <sheetData>
    <row r="1" spans="1:26" ht="39" customHeight="1">
      <c r="A1" s="362"/>
      <c r="B1" s="348"/>
      <c r="C1" s="362" t="s">
        <v>166</v>
      </c>
      <c r="D1" s="350"/>
      <c r="E1" s="350"/>
      <c r="F1" s="350"/>
      <c r="G1" s="336"/>
      <c r="H1" s="24" t="s">
        <v>167</v>
      </c>
      <c r="I1" s="363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38" customHeight="1">
      <c r="A2" s="337"/>
      <c r="B2" s="349"/>
      <c r="C2" s="337"/>
      <c r="D2" s="351"/>
      <c r="E2" s="351"/>
      <c r="F2" s="351"/>
      <c r="G2" s="338"/>
      <c r="H2" s="24" t="s">
        <v>169</v>
      </c>
      <c r="I2" s="364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45.75" customHeight="1">
      <c r="A3" s="343" t="s">
        <v>4</v>
      </c>
      <c r="B3" s="360"/>
      <c r="C3" s="360"/>
      <c r="D3" s="360"/>
      <c r="E3" s="360"/>
      <c r="F3" s="374"/>
      <c r="G3" s="35"/>
      <c r="H3" s="355">
        <v>1101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61.5" customHeight="1">
      <c r="A4" s="26" t="s">
        <v>170</v>
      </c>
      <c r="B4" s="330" t="s">
        <v>723</v>
      </c>
      <c r="C4" s="322"/>
      <c r="D4" s="27" t="s">
        <v>8</v>
      </c>
      <c r="E4" s="12">
        <v>2024</v>
      </c>
      <c r="F4" s="441" t="s">
        <v>172</v>
      </c>
      <c r="G4" s="340"/>
      <c r="H4" s="13">
        <v>1700000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00.5" customHeight="1">
      <c r="A5" s="343" t="s">
        <v>12</v>
      </c>
      <c r="B5" s="344"/>
      <c r="C5" s="449" t="s">
        <v>724</v>
      </c>
      <c r="D5" s="321"/>
      <c r="E5" s="322"/>
      <c r="F5" s="346" t="s">
        <v>175</v>
      </c>
      <c r="G5" s="340"/>
      <c r="H5" s="320" t="s">
        <v>725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26" t="s">
        <v>18</v>
      </c>
      <c r="B6" s="28" t="s">
        <v>19</v>
      </c>
      <c r="C6" s="17" t="s">
        <v>726</v>
      </c>
      <c r="D6" s="3" t="s">
        <v>21</v>
      </c>
      <c r="E6" s="17" t="s">
        <v>470</v>
      </c>
      <c r="F6" s="358" t="s">
        <v>14</v>
      </c>
      <c r="G6" s="342"/>
      <c r="H6" s="2"/>
      <c r="I6" s="3" t="s">
        <v>16</v>
      </c>
      <c r="J6" s="17" t="s">
        <v>727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69.75" customHeight="1">
      <c r="A7" s="324" t="s">
        <v>23</v>
      </c>
      <c r="B7" s="325"/>
      <c r="C7" s="326" t="s">
        <v>728</v>
      </c>
      <c r="D7" s="321"/>
      <c r="E7" s="322"/>
      <c r="F7" s="359" t="s">
        <v>24</v>
      </c>
      <c r="G7" s="360"/>
      <c r="H7" s="344"/>
      <c r="I7" s="326" t="s">
        <v>226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54.75" customHeight="1">
      <c r="A8" s="445" t="s">
        <v>26</v>
      </c>
      <c r="B8" s="446" t="s">
        <v>27</v>
      </c>
      <c r="C8" s="447" t="s">
        <v>28</v>
      </c>
      <c r="D8" s="321"/>
      <c r="E8" s="322"/>
      <c r="F8" s="448" t="s">
        <v>29</v>
      </c>
      <c r="G8" s="336"/>
      <c r="H8" s="444" t="s">
        <v>30</v>
      </c>
      <c r="I8" s="443" t="s">
        <v>31</v>
      </c>
      <c r="J8" s="444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67.5" customHeight="1">
      <c r="A9" s="306"/>
      <c r="B9" s="333"/>
      <c r="C9" s="37" t="s">
        <v>33</v>
      </c>
      <c r="D9" s="38" t="s">
        <v>34</v>
      </c>
      <c r="E9" s="39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>
      <c r="A10" s="315" t="s">
        <v>36</v>
      </c>
      <c r="B10" s="304" t="s">
        <v>729</v>
      </c>
      <c r="C10" s="317" t="s">
        <v>592</v>
      </c>
      <c r="D10" s="307" t="s">
        <v>593</v>
      </c>
      <c r="E10" s="307" t="s">
        <v>40</v>
      </c>
      <c r="F10" s="4">
        <v>42.1</v>
      </c>
      <c r="G10" s="5" t="s">
        <v>730</v>
      </c>
      <c r="H10" s="304" t="s">
        <v>731</v>
      </c>
      <c r="I10" s="304" t="s">
        <v>732</v>
      </c>
      <c r="J10" s="304" t="s">
        <v>733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87" customHeight="1">
      <c r="A11" s="305"/>
      <c r="B11" s="305"/>
      <c r="C11" s="318"/>
      <c r="D11" s="305"/>
      <c r="E11" s="305"/>
      <c r="F11" s="308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19"/>
      <c r="D12" s="306"/>
      <c r="E12" s="306"/>
      <c r="F12" s="21"/>
      <c r="G12" s="29" t="s">
        <v>234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316" t="s">
        <v>47</v>
      </c>
      <c r="B13" s="314" t="s">
        <v>734</v>
      </c>
      <c r="C13" s="307" t="s">
        <v>735</v>
      </c>
      <c r="D13" s="307" t="s">
        <v>116</v>
      </c>
      <c r="E13" s="307" t="s">
        <v>40</v>
      </c>
      <c r="F13" s="4">
        <v>14</v>
      </c>
      <c r="G13" s="5" t="s">
        <v>736</v>
      </c>
      <c r="H13" s="304" t="s">
        <v>737</v>
      </c>
      <c r="I13" s="304" t="s">
        <v>732</v>
      </c>
      <c r="J13" s="304" t="s">
        <v>738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>
      <c r="A14" s="305"/>
      <c r="B14" s="305"/>
      <c r="C14" s="305"/>
      <c r="D14" s="305"/>
      <c r="E14" s="305"/>
      <c r="F14" s="308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A15" s="306"/>
      <c r="B15" s="306"/>
      <c r="C15" s="306"/>
      <c r="D15" s="306"/>
      <c r="E15" s="306"/>
      <c r="F15" s="21"/>
      <c r="G15" s="5"/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69" customHeight="1">
      <c r="A16" s="310" t="s">
        <v>56</v>
      </c>
      <c r="B16" s="304" t="s">
        <v>739</v>
      </c>
      <c r="C16" s="307" t="s">
        <v>740</v>
      </c>
      <c r="D16" s="307" t="s">
        <v>593</v>
      </c>
      <c r="E16" s="307" t="s">
        <v>40</v>
      </c>
      <c r="F16" s="4">
        <v>0</v>
      </c>
      <c r="G16" s="5" t="s">
        <v>741</v>
      </c>
      <c r="H16" s="304" t="s">
        <v>742</v>
      </c>
      <c r="I16" s="304" t="s">
        <v>732</v>
      </c>
      <c r="J16" s="304" t="s">
        <v>743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>
      <c r="A17" s="311"/>
      <c r="B17" s="305"/>
      <c r="C17" s="305"/>
      <c r="D17" s="305"/>
      <c r="E17" s="305"/>
      <c r="F17" s="308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05.75" customHeight="1">
      <c r="A18" s="311"/>
      <c r="B18" s="306"/>
      <c r="C18" s="306"/>
      <c r="D18" s="306"/>
      <c r="E18" s="306"/>
      <c r="F18" s="21"/>
      <c r="G18" s="29" t="s">
        <v>250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>
      <c r="A19" s="311"/>
      <c r="B19" s="304" t="s">
        <v>744</v>
      </c>
      <c r="C19" s="307" t="s">
        <v>745</v>
      </c>
      <c r="D19" s="307" t="s">
        <v>746</v>
      </c>
      <c r="E19" s="307" t="s">
        <v>40</v>
      </c>
      <c r="F19" s="4">
        <v>0</v>
      </c>
      <c r="G19" s="5" t="s">
        <v>747</v>
      </c>
      <c r="H19" s="304" t="s">
        <v>748</v>
      </c>
      <c r="I19" s="304" t="s">
        <v>749</v>
      </c>
      <c r="J19" s="304" t="s">
        <v>750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14" customHeight="1">
      <c r="A20" s="311"/>
      <c r="B20" s="305"/>
      <c r="C20" s="305"/>
      <c r="D20" s="305"/>
      <c r="E20" s="305"/>
      <c r="F20" s="308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311"/>
      <c r="B21" s="306"/>
      <c r="C21" s="306"/>
      <c r="D21" s="306"/>
      <c r="E21" s="306"/>
      <c r="F21" s="21"/>
      <c r="G21" s="29" t="s">
        <v>250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311"/>
      <c r="B22" s="304" t="s">
        <v>751</v>
      </c>
      <c r="C22" s="307" t="s">
        <v>752</v>
      </c>
      <c r="D22" s="307" t="s">
        <v>753</v>
      </c>
      <c r="E22" s="307" t="s">
        <v>40</v>
      </c>
      <c r="F22" s="4"/>
      <c r="G22" s="5" t="s">
        <v>754</v>
      </c>
      <c r="H22" s="304" t="s">
        <v>755</v>
      </c>
      <c r="I22" s="304" t="s">
        <v>756</v>
      </c>
      <c r="J22" s="304" t="s">
        <v>757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311"/>
      <c r="B23" s="305"/>
      <c r="C23" s="305"/>
      <c r="D23" s="305"/>
      <c r="E23" s="305"/>
      <c r="F23" s="308" t="s">
        <v>45</v>
      </c>
      <c r="G23" s="30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91.5" customHeight="1">
      <c r="A24" s="311"/>
      <c r="B24" s="306"/>
      <c r="C24" s="306"/>
      <c r="D24" s="306"/>
      <c r="E24" s="306"/>
      <c r="F24" s="21"/>
      <c r="G24" s="5" t="s">
        <v>758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311"/>
      <c r="B25" s="304" t="s">
        <v>759</v>
      </c>
      <c r="C25" s="307" t="s">
        <v>760</v>
      </c>
      <c r="D25" s="307" t="s">
        <v>593</v>
      </c>
      <c r="E25" s="307" t="s">
        <v>40</v>
      </c>
      <c r="F25" s="4">
        <v>5</v>
      </c>
      <c r="G25" s="5" t="s">
        <v>761</v>
      </c>
      <c r="H25" s="304" t="s">
        <v>762</v>
      </c>
      <c r="I25" s="304" t="s">
        <v>732</v>
      </c>
      <c r="J25" s="304" t="s">
        <v>763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311"/>
      <c r="B26" s="305"/>
      <c r="C26" s="305"/>
      <c r="D26" s="305"/>
      <c r="E26" s="305"/>
      <c r="F26" s="308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14" customHeight="1">
      <c r="A27" s="312"/>
      <c r="B27" s="306"/>
      <c r="C27" s="306"/>
      <c r="D27" s="306"/>
      <c r="E27" s="306"/>
      <c r="F27" s="21"/>
      <c r="G27" s="29" t="s">
        <v>250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6.5" customHeight="1">
      <c r="A28" s="315" t="s">
        <v>80</v>
      </c>
      <c r="B28" s="304" t="s">
        <v>764</v>
      </c>
      <c r="C28" s="307" t="s">
        <v>765</v>
      </c>
      <c r="D28" s="307" t="s">
        <v>766</v>
      </c>
      <c r="E28" s="307" t="s">
        <v>40</v>
      </c>
      <c r="F28" s="22"/>
      <c r="G28" s="5" t="s">
        <v>767</v>
      </c>
      <c r="H28" s="304" t="s">
        <v>768</v>
      </c>
      <c r="I28" s="304" t="s">
        <v>769</v>
      </c>
      <c r="J28" s="304" t="s">
        <v>770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305"/>
      <c r="B29" s="305"/>
      <c r="C29" s="305"/>
      <c r="D29" s="305"/>
      <c r="E29" s="305"/>
      <c r="F29" s="313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94.5" customHeight="1">
      <c r="A30" s="305"/>
      <c r="B30" s="305"/>
      <c r="C30" s="306"/>
      <c r="D30" s="306"/>
      <c r="E30" s="305"/>
      <c r="F30" s="23"/>
      <c r="G30" s="5" t="s">
        <v>771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305"/>
      <c r="B31" s="305"/>
      <c r="C31" s="304" t="s">
        <v>772</v>
      </c>
      <c r="D31" s="307" t="s">
        <v>208</v>
      </c>
      <c r="E31" s="305"/>
      <c r="F31" s="22"/>
      <c r="G31" s="5" t="s">
        <v>773</v>
      </c>
      <c r="H31" s="304" t="s">
        <v>774</v>
      </c>
      <c r="I31" s="304" t="s">
        <v>395</v>
      </c>
      <c r="J31" s="304" t="s">
        <v>775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305"/>
      <c r="B32" s="305"/>
      <c r="C32" s="305"/>
      <c r="D32" s="305"/>
      <c r="E32" s="305"/>
      <c r="F32" s="313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39" customHeight="1">
      <c r="A33" s="305"/>
      <c r="B33" s="305"/>
      <c r="C33" s="306"/>
      <c r="D33" s="305"/>
      <c r="E33" s="305"/>
      <c r="F33" s="23"/>
      <c r="G33" s="5" t="s">
        <v>776</v>
      </c>
      <c r="H33" s="306"/>
      <c r="I33" s="357"/>
      <c r="J33" s="357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305"/>
      <c r="B34" s="305"/>
      <c r="C34" s="307" t="s">
        <v>777</v>
      </c>
      <c r="D34" s="305"/>
      <c r="E34" s="305"/>
      <c r="F34" s="22"/>
      <c r="G34" s="5" t="s">
        <v>778</v>
      </c>
      <c r="H34" s="304" t="s">
        <v>779</v>
      </c>
      <c r="I34" s="304" t="s">
        <v>395</v>
      </c>
      <c r="J34" s="304" t="s">
        <v>780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305"/>
      <c r="B35" s="305"/>
      <c r="C35" s="305"/>
      <c r="D35" s="305"/>
      <c r="E35" s="305"/>
      <c r="F35" s="313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305"/>
      <c r="B36" s="306"/>
      <c r="C36" s="306"/>
      <c r="D36" s="305"/>
      <c r="E36" s="305"/>
      <c r="F36" s="23"/>
      <c r="G36" s="5" t="s">
        <v>781</v>
      </c>
      <c r="H36" s="306"/>
      <c r="I36" s="357"/>
      <c r="J36" s="357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305"/>
      <c r="B37" s="304" t="s">
        <v>782</v>
      </c>
      <c r="C37" s="307" t="s">
        <v>783</v>
      </c>
      <c r="D37" s="305"/>
      <c r="E37" s="305"/>
      <c r="F37" s="22"/>
      <c r="G37" s="5" t="s">
        <v>784</v>
      </c>
      <c r="H37" s="304" t="s">
        <v>785</v>
      </c>
      <c r="I37" s="304" t="s">
        <v>395</v>
      </c>
      <c r="J37" s="304" t="s">
        <v>786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305"/>
      <c r="B38" s="305"/>
      <c r="C38" s="305"/>
      <c r="D38" s="305"/>
      <c r="E38" s="305"/>
      <c r="F38" s="313" t="s">
        <v>45</v>
      </c>
      <c r="G38" s="309"/>
      <c r="H38" s="305"/>
      <c r="I38" s="305"/>
      <c r="J38" s="30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63" customHeight="1">
      <c r="A39" s="305"/>
      <c r="B39" s="306"/>
      <c r="C39" s="306"/>
      <c r="D39" s="305"/>
      <c r="E39" s="305"/>
      <c r="F39" s="23"/>
      <c r="G39" s="5" t="s">
        <v>787</v>
      </c>
      <c r="H39" s="306"/>
      <c r="I39" s="306"/>
      <c r="J39" s="306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305"/>
      <c r="B40" s="304" t="s">
        <v>788</v>
      </c>
      <c r="C40" s="307" t="s">
        <v>789</v>
      </c>
      <c r="D40" s="305"/>
      <c r="E40" s="305"/>
      <c r="F40" s="22"/>
      <c r="G40" s="5" t="s">
        <v>790</v>
      </c>
      <c r="H40" s="304" t="s">
        <v>791</v>
      </c>
      <c r="I40" s="304" t="s">
        <v>395</v>
      </c>
      <c r="J40" s="304" t="s">
        <v>792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305"/>
      <c r="B41" s="305"/>
      <c r="C41" s="305"/>
      <c r="D41" s="305"/>
      <c r="E41" s="305"/>
      <c r="F41" s="313" t="s">
        <v>45</v>
      </c>
      <c r="G41" s="309"/>
      <c r="H41" s="305"/>
      <c r="I41" s="305"/>
      <c r="J41" s="30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60" customHeight="1">
      <c r="A42" s="357"/>
      <c r="B42" s="306"/>
      <c r="C42" s="306"/>
      <c r="D42" s="306"/>
      <c r="E42" s="306"/>
      <c r="F42" s="23"/>
      <c r="G42" s="5" t="s">
        <v>793</v>
      </c>
      <c r="H42" s="306"/>
      <c r="I42" s="306"/>
      <c r="J42" s="306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07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B22:B24"/>
    <mergeCell ref="C22:C24"/>
    <mergeCell ref="D22:D24"/>
    <mergeCell ref="E22:E24"/>
    <mergeCell ref="J25:J27"/>
    <mergeCell ref="F26:G26"/>
    <mergeCell ref="F29:G29"/>
    <mergeCell ref="H16:H18"/>
    <mergeCell ref="I16:I18"/>
    <mergeCell ref="E16:E18"/>
    <mergeCell ref="F17:G17"/>
    <mergeCell ref="B19:B21"/>
    <mergeCell ref="C19:C21"/>
    <mergeCell ref="D19:D21"/>
    <mergeCell ref="E19:E21"/>
    <mergeCell ref="H19:H21"/>
    <mergeCell ref="I19:I21"/>
    <mergeCell ref="B25:B27"/>
    <mergeCell ref="C25:C27"/>
    <mergeCell ref="E28:E42"/>
    <mergeCell ref="H31:H33"/>
    <mergeCell ref="H34:H36"/>
    <mergeCell ref="I34:I36"/>
    <mergeCell ref="J34:J36"/>
    <mergeCell ref="F35:G35"/>
    <mergeCell ref="I40:I42"/>
    <mergeCell ref="J40:J42"/>
    <mergeCell ref="H37:H39"/>
    <mergeCell ref="I37:I39"/>
    <mergeCell ref="J37:J39"/>
    <mergeCell ref="F38:G38"/>
    <mergeCell ref="D25:D27"/>
    <mergeCell ref="E25:E27"/>
    <mergeCell ref="I31:I33"/>
    <mergeCell ref="J31:J33"/>
    <mergeCell ref="D16:D18"/>
    <mergeCell ref="J16:J18"/>
    <mergeCell ref="A28:A42"/>
    <mergeCell ref="B28:B36"/>
    <mergeCell ref="C28:C30"/>
    <mergeCell ref="C31:C33"/>
    <mergeCell ref="C34:C36"/>
    <mergeCell ref="A13:A15"/>
    <mergeCell ref="B13:B15"/>
    <mergeCell ref="C13:C15"/>
    <mergeCell ref="D13:D15"/>
    <mergeCell ref="D28:D30"/>
    <mergeCell ref="D31:D42"/>
    <mergeCell ref="A16:A27"/>
    <mergeCell ref="B16:B18"/>
    <mergeCell ref="C16:C18"/>
    <mergeCell ref="B37:B39"/>
    <mergeCell ref="C37:C39"/>
    <mergeCell ref="F32:G32"/>
    <mergeCell ref="H25:H27"/>
    <mergeCell ref="H40:H42"/>
    <mergeCell ref="F41:G41"/>
    <mergeCell ref="B40:B42"/>
    <mergeCell ref="C40:C42"/>
    <mergeCell ref="E13:E15"/>
    <mergeCell ref="I13:I15"/>
    <mergeCell ref="J13:J15"/>
    <mergeCell ref="H22:H24"/>
    <mergeCell ref="I22:I24"/>
    <mergeCell ref="J22:J24"/>
    <mergeCell ref="F23:G23"/>
    <mergeCell ref="I25:I27"/>
    <mergeCell ref="H28:H30"/>
    <mergeCell ref="I28:I30"/>
    <mergeCell ref="J28:J30"/>
    <mergeCell ref="J19:J21"/>
    <mergeCell ref="F20:G20"/>
    <mergeCell ref="H13:H15"/>
    <mergeCell ref="F14:G14"/>
  </mergeCells>
  <conditionalFormatting sqref="F12">
    <cfRule type="cellIs" dxfId="93" priority="1" operator="lessThan">
      <formula>$F$16</formula>
    </cfRule>
    <cfRule type="cellIs" dxfId="92" priority="2" operator="greaterThanOrEqual">
      <formula>$F$16</formula>
    </cfRule>
  </conditionalFormatting>
  <conditionalFormatting sqref="F15">
    <cfRule type="cellIs" dxfId="91" priority="3" operator="lessThan">
      <formula>$F$16</formula>
    </cfRule>
    <cfRule type="cellIs" dxfId="90" priority="4" operator="greaterThanOrEqual">
      <formula>$F$16</formula>
    </cfRule>
  </conditionalFormatting>
  <conditionalFormatting sqref="F18">
    <cfRule type="cellIs" dxfId="89" priority="5" operator="lessThan">
      <formula>$F$16</formula>
    </cfRule>
    <cfRule type="cellIs" dxfId="88" priority="6" operator="greaterThanOrEqual">
      <formula>$F$16</formula>
    </cfRule>
  </conditionalFormatting>
  <conditionalFormatting sqref="F21">
    <cfRule type="cellIs" dxfId="87" priority="7" operator="lessThan">
      <formula>$F$16</formula>
    </cfRule>
    <cfRule type="cellIs" dxfId="86" priority="8" operator="greaterThanOrEqual">
      <formula>$F$16</formula>
    </cfRule>
  </conditionalFormatting>
  <conditionalFormatting sqref="F24">
    <cfRule type="cellIs" dxfId="85" priority="9" operator="lessThan">
      <formula>$F$16</formula>
    </cfRule>
    <cfRule type="cellIs" dxfId="84" priority="10" operator="greaterThanOrEqual">
      <formula>$F$16</formula>
    </cfRule>
  </conditionalFormatting>
  <conditionalFormatting sqref="F27">
    <cfRule type="cellIs" dxfId="83" priority="11" operator="lessThan">
      <formula>$F$16</formula>
    </cfRule>
    <cfRule type="cellIs" dxfId="82" priority="12" operator="greaterThanOrEqual">
      <formula>$F$16</formula>
    </cfRule>
  </conditionalFormatting>
  <conditionalFormatting sqref="F30">
    <cfRule type="cellIs" dxfId="81" priority="13" operator="lessThan">
      <formula>$F$16</formula>
    </cfRule>
    <cfRule type="cellIs" dxfId="80" priority="14" operator="greaterThanOrEqual">
      <formula>$F$16</formula>
    </cfRule>
  </conditionalFormatting>
  <conditionalFormatting sqref="F33">
    <cfRule type="cellIs" dxfId="79" priority="15" operator="lessThan">
      <formula>$F$16</formula>
    </cfRule>
    <cfRule type="cellIs" dxfId="78" priority="16" operator="greaterThanOrEqual">
      <formula>$F$16</formula>
    </cfRule>
  </conditionalFormatting>
  <conditionalFormatting sqref="F36">
    <cfRule type="cellIs" dxfId="77" priority="17" operator="lessThan">
      <formula>$F$16</formula>
    </cfRule>
    <cfRule type="cellIs" dxfId="76" priority="18" operator="greaterThanOrEqual">
      <formula>$F$16</formula>
    </cfRule>
  </conditionalFormatting>
  <conditionalFormatting sqref="F39">
    <cfRule type="cellIs" dxfId="75" priority="19" operator="lessThan">
      <formula>$F$16</formula>
    </cfRule>
    <cfRule type="cellIs" dxfId="74" priority="20" operator="greaterThanOrEqual">
      <formula>$F$16</formula>
    </cfRule>
  </conditionalFormatting>
  <conditionalFormatting sqref="F42">
    <cfRule type="cellIs" dxfId="73" priority="21" operator="lessThan">
      <formula>$F$16</formula>
    </cfRule>
    <cfRule type="cellIs" dxfId="72" priority="22" operator="greaterThanOrEqual">
      <formula>$F$16</formula>
    </cfRule>
  </conditionalFormatting>
  <conditionalFormatting sqref="J4">
    <cfRule type="cellIs" dxfId="71" priority="23" operator="lessThan">
      <formula>$H$4</formula>
    </cfRule>
    <cfRule type="cellIs" dxfId="70" priority="24" operator="greaterThan">
      <formula>$H$4</formula>
    </cfRule>
  </conditionalFormatting>
  <pageMargins left="0.7" right="0.7" top="0.75" bottom="0.75" header="0" footer="0"/>
  <pageSetup scale="27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2">
    <tabColor rgb="FF385623"/>
  </sheetPr>
  <dimension ref="A1:Z1000"/>
  <sheetViews>
    <sheetView workbookViewId="0"/>
  </sheetViews>
  <sheetFormatPr baseColWidth="10" defaultColWidth="11.125" defaultRowHeight="15" customHeight="1"/>
  <cols>
    <col min="1" max="1" width="28.375" customWidth="1"/>
    <col min="2" max="2" width="30.625" customWidth="1"/>
    <col min="3" max="3" width="34" customWidth="1"/>
    <col min="4" max="4" width="34.125" customWidth="1"/>
    <col min="5" max="5" width="43.625" customWidth="1"/>
    <col min="6" max="6" width="32" customWidth="1"/>
    <col min="7" max="7" width="31.125" customWidth="1"/>
    <col min="8" max="8" width="26.625" customWidth="1"/>
    <col min="9" max="9" width="28.875" customWidth="1"/>
    <col min="10" max="10" width="35.5" customWidth="1"/>
    <col min="11" max="26" width="10.5" customWidth="1"/>
  </cols>
  <sheetData>
    <row r="1" spans="1:26" ht="54.75" customHeight="1">
      <c r="A1" s="362"/>
      <c r="B1" s="348"/>
      <c r="C1" s="362" t="s">
        <v>794</v>
      </c>
      <c r="D1" s="350"/>
      <c r="E1" s="350"/>
      <c r="F1" s="350"/>
      <c r="G1" s="336"/>
      <c r="H1" s="24" t="s">
        <v>167</v>
      </c>
      <c r="I1" s="363" t="s">
        <v>168</v>
      </c>
      <c r="J1" s="32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17" customHeight="1">
      <c r="A2" s="337"/>
      <c r="B2" s="349"/>
      <c r="C2" s="337"/>
      <c r="D2" s="351"/>
      <c r="E2" s="351"/>
      <c r="F2" s="351"/>
      <c r="G2" s="338"/>
      <c r="H2" s="24" t="s">
        <v>169</v>
      </c>
      <c r="I2" s="364">
        <v>43691</v>
      </c>
      <c r="J2" s="32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343" t="s">
        <v>4</v>
      </c>
      <c r="B3" s="360"/>
      <c r="C3" s="360"/>
      <c r="D3" s="360"/>
      <c r="E3" s="360"/>
      <c r="F3" s="374"/>
      <c r="G3" s="35"/>
      <c r="H3" s="451" t="s">
        <v>795</v>
      </c>
      <c r="I3" s="321"/>
      <c r="J3" s="32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>
      <c r="A4" s="26" t="s">
        <v>170</v>
      </c>
      <c r="B4" s="330" t="s">
        <v>796</v>
      </c>
      <c r="C4" s="322"/>
      <c r="D4" s="27" t="s">
        <v>8</v>
      </c>
      <c r="E4" s="12">
        <v>2024</v>
      </c>
      <c r="F4" s="346" t="s">
        <v>172</v>
      </c>
      <c r="G4" s="340"/>
      <c r="H4" s="13">
        <v>10050000</v>
      </c>
      <c r="I4" s="14" t="s">
        <v>11</v>
      </c>
      <c r="J4" s="1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343" t="s">
        <v>12</v>
      </c>
      <c r="B5" s="344"/>
      <c r="C5" s="442" t="s">
        <v>797</v>
      </c>
      <c r="D5" s="321"/>
      <c r="E5" s="322"/>
      <c r="F5" s="346" t="s">
        <v>175</v>
      </c>
      <c r="G5" s="340"/>
      <c r="H5" s="320" t="s">
        <v>798</v>
      </c>
      <c r="I5" s="321"/>
      <c r="J5" s="32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36.5" customHeight="1">
      <c r="A6" s="26" t="s">
        <v>18</v>
      </c>
      <c r="B6" s="28" t="s">
        <v>19</v>
      </c>
      <c r="C6" s="17" t="s">
        <v>20</v>
      </c>
      <c r="D6" s="3" t="s">
        <v>21</v>
      </c>
      <c r="E6" s="17" t="s">
        <v>224</v>
      </c>
      <c r="F6" s="358" t="s">
        <v>14</v>
      </c>
      <c r="G6" s="342"/>
      <c r="H6" s="17" t="s">
        <v>178</v>
      </c>
      <c r="I6" s="3" t="s">
        <v>16</v>
      </c>
      <c r="J6" s="40" t="s">
        <v>17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5.75" customHeight="1">
      <c r="A7" s="324" t="s">
        <v>23</v>
      </c>
      <c r="B7" s="325"/>
      <c r="C7" s="326" t="s">
        <v>799</v>
      </c>
      <c r="D7" s="321"/>
      <c r="E7" s="322"/>
      <c r="F7" s="359" t="s">
        <v>24</v>
      </c>
      <c r="G7" s="360"/>
      <c r="H7" s="344"/>
      <c r="I7" s="326" t="s">
        <v>800</v>
      </c>
      <c r="J7" s="3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331" t="s">
        <v>26</v>
      </c>
      <c r="B8" s="332" t="s">
        <v>27</v>
      </c>
      <c r="C8" s="334" t="s">
        <v>28</v>
      </c>
      <c r="D8" s="321"/>
      <c r="E8" s="322"/>
      <c r="F8" s="335" t="s">
        <v>29</v>
      </c>
      <c r="G8" s="336"/>
      <c r="H8" s="329" t="s">
        <v>30</v>
      </c>
      <c r="I8" s="327" t="s">
        <v>31</v>
      </c>
      <c r="J8" s="329" t="s">
        <v>32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306"/>
      <c r="B9" s="333"/>
      <c r="C9" s="18" t="s">
        <v>33</v>
      </c>
      <c r="D9" s="19" t="s">
        <v>34</v>
      </c>
      <c r="E9" s="20" t="s">
        <v>35</v>
      </c>
      <c r="F9" s="337"/>
      <c r="G9" s="338"/>
      <c r="H9" s="306"/>
      <c r="I9" s="328"/>
      <c r="J9" s="30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3.5" customHeight="1">
      <c r="A10" s="315" t="s">
        <v>36</v>
      </c>
      <c r="B10" s="304" t="s">
        <v>801</v>
      </c>
      <c r="C10" s="307" t="s">
        <v>802</v>
      </c>
      <c r="D10" s="307" t="s">
        <v>803</v>
      </c>
      <c r="E10" s="304" t="s">
        <v>40</v>
      </c>
      <c r="F10" s="4"/>
      <c r="G10" s="5" t="s">
        <v>804</v>
      </c>
      <c r="H10" s="450" t="s">
        <v>805</v>
      </c>
      <c r="I10" s="307" t="s">
        <v>803</v>
      </c>
      <c r="J10" s="304" t="s">
        <v>806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5" customHeight="1">
      <c r="A11" s="305"/>
      <c r="B11" s="305"/>
      <c r="C11" s="305"/>
      <c r="D11" s="305"/>
      <c r="E11" s="305"/>
      <c r="F11" s="356" t="s">
        <v>45</v>
      </c>
      <c r="G11" s="309"/>
      <c r="H11" s="305"/>
      <c r="I11" s="305"/>
      <c r="J11" s="30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306"/>
      <c r="B12" s="306"/>
      <c r="C12" s="306"/>
      <c r="D12" s="306"/>
      <c r="E12" s="306"/>
      <c r="F12" s="21"/>
      <c r="G12" s="29" t="s">
        <v>807</v>
      </c>
      <c r="H12" s="306"/>
      <c r="I12" s="306"/>
      <c r="J12" s="30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4.5" customHeight="1">
      <c r="A13" s="316" t="s">
        <v>47</v>
      </c>
      <c r="B13" s="314" t="s">
        <v>808</v>
      </c>
      <c r="C13" s="317" t="s">
        <v>809</v>
      </c>
      <c r="D13" s="307" t="s">
        <v>810</v>
      </c>
      <c r="E13" s="307" t="s">
        <v>40</v>
      </c>
      <c r="F13" s="4"/>
      <c r="G13" s="29" t="s">
        <v>811</v>
      </c>
      <c r="H13" s="304" t="s">
        <v>812</v>
      </c>
      <c r="I13" s="304" t="s">
        <v>813</v>
      </c>
      <c r="J13" s="304" t="s">
        <v>814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9.75" customHeight="1">
      <c r="A14" s="305"/>
      <c r="B14" s="305"/>
      <c r="C14" s="318"/>
      <c r="D14" s="305"/>
      <c r="E14" s="305"/>
      <c r="F14" s="356" t="s">
        <v>45</v>
      </c>
      <c r="G14" s="309"/>
      <c r="H14" s="305"/>
      <c r="I14" s="305"/>
      <c r="J14" s="30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55.5" customHeight="1">
      <c r="A15" s="306"/>
      <c r="B15" s="306"/>
      <c r="C15" s="319"/>
      <c r="D15" s="306"/>
      <c r="E15" s="306"/>
      <c r="F15" s="21"/>
      <c r="G15" s="29" t="s">
        <v>815</v>
      </c>
      <c r="H15" s="306"/>
      <c r="I15" s="306"/>
      <c r="J15" s="30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72" customHeight="1">
      <c r="A16" s="310" t="s">
        <v>56</v>
      </c>
      <c r="B16" s="304" t="s">
        <v>816</v>
      </c>
      <c r="C16" s="307" t="s">
        <v>817</v>
      </c>
      <c r="D16" s="307" t="s">
        <v>818</v>
      </c>
      <c r="E16" s="307" t="s">
        <v>40</v>
      </c>
      <c r="F16" s="4"/>
      <c r="G16" s="5" t="s">
        <v>819</v>
      </c>
      <c r="H16" s="304" t="s">
        <v>820</v>
      </c>
      <c r="I16" s="304" t="s">
        <v>821</v>
      </c>
      <c r="J16" s="304" t="s">
        <v>822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55.5" customHeight="1">
      <c r="A17" s="311"/>
      <c r="B17" s="305"/>
      <c r="C17" s="305"/>
      <c r="D17" s="305"/>
      <c r="E17" s="305"/>
      <c r="F17" s="356" t="s">
        <v>45</v>
      </c>
      <c r="G17" s="309"/>
      <c r="H17" s="305"/>
      <c r="I17" s="305"/>
      <c r="J17" s="30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57" customHeight="1">
      <c r="A18" s="311"/>
      <c r="B18" s="306"/>
      <c r="C18" s="306"/>
      <c r="D18" s="306"/>
      <c r="E18" s="306"/>
      <c r="F18" s="21"/>
      <c r="G18" s="29" t="s">
        <v>823</v>
      </c>
      <c r="H18" s="306"/>
      <c r="I18" s="306"/>
      <c r="J18" s="30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55.5" customHeight="1">
      <c r="A19" s="311"/>
      <c r="B19" s="304" t="s">
        <v>824</v>
      </c>
      <c r="C19" s="307" t="s">
        <v>825</v>
      </c>
      <c r="D19" s="307" t="s">
        <v>826</v>
      </c>
      <c r="E19" s="307" t="s">
        <v>40</v>
      </c>
      <c r="F19" s="4">
        <v>100</v>
      </c>
      <c r="G19" s="29" t="s">
        <v>827</v>
      </c>
      <c r="H19" s="304" t="s">
        <v>828</v>
      </c>
      <c r="I19" s="304" t="s">
        <v>829</v>
      </c>
      <c r="J19" s="304" t="s">
        <v>830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54.75" customHeight="1">
      <c r="A20" s="311"/>
      <c r="B20" s="305"/>
      <c r="C20" s="305"/>
      <c r="D20" s="305"/>
      <c r="E20" s="305"/>
      <c r="F20" s="356" t="s">
        <v>45</v>
      </c>
      <c r="G20" s="309"/>
      <c r="H20" s="305"/>
      <c r="I20" s="305"/>
      <c r="J20" s="30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60.75" customHeight="1">
      <c r="A21" s="312"/>
      <c r="B21" s="306"/>
      <c r="C21" s="306"/>
      <c r="D21" s="306"/>
      <c r="E21" s="306"/>
      <c r="F21" s="21"/>
      <c r="G21" s="29" t="s">
        <v>250</v>
      </c>
      <c r="H21" s="306"/>
      <c r="I21" s="306"/>
      <c r="J21" s="306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90.75" customHeight="1">
      <c r="A22" s="315" t="s">
        <v>80</v>
      </c>
      <c r="B22" s="304" t="s">
        <v>831</v>
      </c>
      <c r="C22" s="307" t="s">
        <v>832</v>
      </c>
      <c r="D22" s="307" t="s">
        <v>208</v>
      </c>
      <c r="E22" s="307" t="s">
        <v>40</v>
      </c>
      <c r="F22" s="4"/>
      <c r="G22" s="5" t="s">
        <v>833</v>
      </c>
      <c r="H22" s="304" t="s">
        <v>834</v>
      </c>
      <c r="I22" s="304" t="s">
        <v>835</v>
      </c>
      <c r="J22" s="304" t="s">
        <v>836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61.5" customHeight="1">
      <c r="A23" s="305"/>
      <c r="B23" s="305"/>
      <c r="C23" s="305"/>
      <c r="D23" s="305"/>
      <c r="E23" s="305"/>
      <c r="F23" s="356" t="s">
        <v>45</v>
      </c>
      <c r="G23" s="309"/>
      <c r="H23" s="305"/>
      <c r="I23" s="305"/>
      <c r="J23" s="30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63.75" customHeight="1">
      <c r="A24" s="305"/>
      <c r="B24" s="305"/>
      <c r="C24" s="306"/>
      <c r="D24" s="305"/>
      <c r="E24" s="305"/>
      <c r="F24" s="21"/>
      <c r="G24" s="5" t="s">
        <v>833</v>
      </c>
      <c r="H24" s="306"/>
      <c r="I24" s="306"/>
      <c r="J24" s="306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67.5" customHeight="1">
      <c r="A25" s="305"/>
      <c r="B25" s="305"/>
      <c r="C25" s="307" t="s">
        <v>837</v>
      </c>
      <c r="D25" s="305"/>
      <c r="E25" s="305"/>
      <c r="F25" s="4"/>
      <c r="G25" s="5" t="s">
        <v>838</v>
      </c>
      <c r="H25" s="304" t="s">
        <v>839</v>
      </c>
      <c r="I25" s="304" t="s">
        <v>208</v>
      </c>
      <c r="J25" s="304" t="s">
        <v>840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58.5" customHeight="1">
      <c r="A26" s="305"/>
      <c r="B26" s="305"/>
      <c r="C26" s="305"/>
      <c r="D26" s="305"/>
      <c r="E26" s="305"/>
      <c r="F26" s="356" t="s">
        <v>45</v>
      </c>
      <c r="G26" s="309"/>
      <c r="H26" s="305"/>
      <c r="I26" s="305"/>
      <c r="J26" s="30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7.75" customHeight="1">
      <c r="A27" s="305"/>
      <c r="B27" s="305"/>
      <c r="C27" s="306"/>
      <c r="D27" s="305"/>
      <c r="E27" s="305"/>
      <c r="F27" s="21"/>
      <c r="G27" s="29" t="s">
        <v>841</v>
      </c>
      <c r="H27" s="306"/>
      <c r="I27" s="306"/>
      <c r="J27" s="30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66.75" customHeight="1">
      <c r="A28" s="305"/>
      <c r="B28" s="305"/>
      <c r="C28" s="307" t="s">
        <v>842</v>
      </c>
      <c r="D28" s="305"/>
      <c r="E28" s="305"/>
      <c r="F28" s="4"/>
      <c r="G28" s="29" t="s">
        <v>843</v>
      </c>
      <c r="H28" s="304" t="s">
        <v>844</v>
      </c>
      <c r="I28" s="304" t="s">
        <v>845</v>
      </c>
      <c r="J28" s="304" t="s">
        <v>846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75" customHeight="1">
      <c r="A29" s="305"/>
      <c r="B29" s="305"/>
      <c r="C29" s="305"/>
      <c r="D29" s="305"/>
      <c r="E29" s="305"/>
      <c r="F29" s="356" t="s">
        <v>45</v>
      </c>
      <c r="G29" s="309"/>
      <c r="H29" s="305"/>
      <c r="I29" s="305"/>
      <c r="J29" s="30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63" customHeight="1">
      <c r="A30" s="305"/>
      <c r="B30" s="306"/>
      <c r="C30" s="306"/>
      <c r="D30" s="357"/>
      <c r="E30" s="357"/>
      <c r="F30" s="21"/>
      <c r="G30" s="5" t="s">
        <v>847</v>
      </c>
      <c r="H30" s="306"/>
      <c r="I30" s="306"/>
      <c r="J30" s="306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96.75" customHeight="1">
      <c r="A31" s="305"/>
      <c r="B31" s="304" t="s">
        <v>848</v>
      </c>
      <c r="C31" s="307" t="s">
        <v>849</v>
      </c>
      <c r="D31" s="307" t="s">
        <v>208</v>
      </c>
      <c r="E31" s="307" t="s">
        <v>40</v>
      </c>
      <c r="F31" s="4"/>
      <c r="G31" s="5" t="s">
        <v>850</v>
      </c>
      <c r="H31" s="304" t="s">
        <v>851</v>
      </c>
      <c r="I31" s="304" t="s">
        <v>852</v>
      </c>
      <c r="J31" s="304" t="s">
        <v>853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305"/>
      <c r="B32" s="305"/>
      <c r="C32" s="305"/>
      <c r="D32" s="305"/>
      <c r="E32" s="305"/>
      <c r="F32" s="356" t="s">
        <v>45</v>
      </c>
      <c r="G32" s="309"/>
      <c r="H32" s="305"/>
      <c r="I32" s="305"/>
      <c r="J32" s="30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60.75" customHeight="1">
      <c r="A33" s="305"/>
      <c r="B33" s="305"/>
      <c r="C33" s="306"/>
      <c r="D33" s="305"/>
      <c r="E33" s="305"/>
      <c r="F33" s="21"/>
      <c r="G33" s="5" t="s">
        <v>854</v>
      </c>
      <c r="H33" s="306"/>
      <c r="I33" s="306"/>
      <c r="J33" s="30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60.75" customHeight="1">
      <c r="A34" s="305"/>
      <c r="B34" s="305"/>
      <c r="C34" s="373" t="s">
        <v>855</v>
      </c>
      <c r="D34" s="305"/>
      <c r="E34" s="305"/>
      <c r="F34" s="4"/>
      <c r="G34" s="29" t="s">
        <v>856</v>
      </c>
      <c r="H34" s="304" t="s">
        <v>857</v>
      </c>
      <c r="I34" s="304" t="s">
        <v>858</v>
      </c>
      <c r="J34" s="304" t="s">
        <v>859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60.75" customHeight="1">
      <c r="A35" s="305"/>
      <c r="B35" s="305"/>
      <c r="C35" s="305"/>
      <c r="D35" s="305"/>
      <c r="E35" s="305"/>
      <c r="F35" s="356" t="s">
        <v>45</v>
      </c>
      <c r="G35" s="309"/>
      <c r="H35" s="305"/>
      <c r="I35" s="305"/>
      <c r="J35" s="30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60.75" customHeight="1">
      <c r="A36" s="305"/>
      <c r="B36" s="305"/>
      <c r="C36" s="306"/>
      <c r="D36" s="305"/>
      <c r="E36" s="305"/>
      <c r="F36" s="21"/>
      <c r="G36" s="29" t="s">
        <v>857</v>
      </c>
      <c r="H36" s="306"/>
      <c r="I36" s="306"/>
      <c r="J36" s="306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60.75" customHeight="1">
      <c r="A37" s="305"/>
      <c r="B37" s="305"/>
      <c r="C37" s="307" t="s">
        <v>860</v>
      </c>
      <c r="D37" s="305"/>
      <c r="E37" s="305"/>
      <c r="F37" s="4"/>
      <c r="G37" s="5" t="s">
        <v>861</v>
      </c>
      <c r="H37" s="304" t="s">
        <v>862</v>
      </c>
      <c r="I37" s="304" t="s">
        <v>395</v>
      </c>
      <c r="J37" s="304" t="s">
        <v>863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60.75" customHeight="1">
      <c r="A38" s="305"/>
      <c r="B38" s="305"/>
      <c r="C38" s="305"/>
      <c r="D38" s="305"/>
      <c r="E38" s="305"/>
      <c r="F38" s="356" t="s">
        <v>45</v>
      </c>
      <c r="G38" s="309"/>
      <c r="H38" s="305"/>
      <c r="I38" s="305"/>
      <c r="J38" s="30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60.75" customHeight="1">
      <c r="A39" s="305"/>
      <c r="B39" s="305"/>
      <c r="C39" s="306"/>
      <c r="D39" s="305"/>
      <c r="E39" s="305"/>
      <c r="F39" s="21"/>
      <c r="G39" s="5" t="s">
        <v>864</v>
      </c>
      <c r="H39" s="306"/>
      <c r="I39" s="306"/>
      <c r="J39" s="306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60.75" customHeight="1">
      <c r="A40" s="305"/>
      <c r="B40" s="305"/>
      <c r="C40" s="373" t="s">
        <v>865</v>
      </c>
      <c r="D40" s="305"/>
      <c r="E40" s="305"/>
      <c r="F40" s="4"/>
      <c r="G40" s="5" t="s">
        <v>866</v>
      </c>
      <c r="H40" s="314" t="s">
        <v>867</v>
      </c>
      <c r="I40" s="314" t="s">
        <v>208</v>
      </c>
      <c r="J40" s="314" t="s">
        <v>868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60.75" customHeight="1">
      <c r="A41" s="305"/>
      <c r="B41" s="357"/>
      <c r="C41" s="305"/>
      <c r="D41" s="305"/>
      <c r="E41" s="305"/>
      <c r="F41" s="356" t="s">
        <v>45</v>
      </c>
      <c r="G41" s="309"/>
      <c r="H41" s="305"/>
      <c r="I41" s="305"/>
      <c r="J41" s="30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60.75" customHeight="1">
      <c r="A42" s="305"/>
      <c r="B42" s="41"/>
      <c r="C42" s="306"/>
      <c r="D42" s="357"/>
      <c r="E42" s="357"/>
      <c r="F42" s="21"/>
      <c r="G42" s="5" t="s">
        <v>867</v>
      </c>
      <c r="H42" s="306"/>
      <c r="I42" s="306"/>
      <c r="J42" s="306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60.75" customHeight="1">
      <c r="A43" s="305"/>
      <c r="B43" s="304" t="s">
        <v>869</v>
      </c>
      <c r="C43" s="307" t="s">
        <v>870</v>
      </c>
      <c r="D43" s="307" t="s">
        <v>871</v>
      </c>
      <c r="E43" s="307" t="s">
        <v>365</v>
      </c>
      <c r="F43" s="4"/>
      <c r="G43" s="29" t="s">
        <v>872</v>
      </c>
      <c r="H43" s="304" t="s">
        <v>873</v>
      </c>
      <c r="I43" s="304" t="s">
        <v>845</v>
      </c>
      <c r="J43" s="304" t="s">
        <v>874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305"/>
      <c r="B44" s="305"/>
      <c r="C44" s="305"/>
      <c r="D44" s="305"/>
      <c r="E44" s="305"/>
      <c r="F44" s="356" t="s">
        <v>45</v>
      </c>
      <c r="G44" s="309"/>
      <c r="H44" s="305"/>
      <c r="I44" s="305"/>
      <c r="J44" s="30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84.75" customHeight="1">
      <c r="A45" s="306"/>
      <c r="B45" s="306"/>
      <c r="C45" s="306"/>
      <c r="D45" s="306"/>
      <c r="E45" s="306"/>
      <c r="F45" s="21"/>
      <c r="G45" s="5" t="s">
        <v>875</v>
      </c>
      <c r="H45" s="306"/>
      <c r="I45" s="306"/>
      <c r="J45" s="306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09">
    <mergeCell ref="A1:B2"/>
    <mergeCell ref="C1:G2"/>
    <mergeCell ref="I1:J1"/>
    <mergeCell ref="I2:J2"/>
    <mergeCell ref="A3:F3"/>
    <mergeCell ref="H3:J3"/>
    <mergeCell ref="F4:G4"/>
    <mergeCell ref="B4:C4"/>
    <mergeCell ref="A5:B5"/>
    <mergeCell ref="C5:E5"/>
    <mergeCell ref="F5:G5"/>
    <mergeCell ref="H5:J5"/>
    <mergeCell ref="F6:G6"/>
    <mergeCell ref="A7:B7"/>
    <mergeCell ref="I7:J7"/>
    <mergeCell ref="I8:I9"/>
    <mergeCell ref="J8:J9"/>
    <mergeCell ref="C7:E7"/>
    <mergeCell ref="F7:H7"/>
    <mergeCell ref="A8:A9"/>
    <mergeCell ref="B8:B9"/>
    <mergeCell ref="C8:E8"/>
    <mergeCell ref="F8:G9"/>
    <mergeCell ref="H8:H9"/>
    <mergeCell ref="H10:H12"/>
    <mergeCell ref="F11:G11"/>
    <mergeCell ref="A10:A12"/>
    <mergeCell ref="B10:B12"/>
    <mergeCell ref="C10:C12"/>
    <mergeCell ref="D10:D12"/>
    <mergeCell ref="E10:E12"/>
    <mergeCell ref="I10:I12"/>
    <mergeCell ref="J10:J12"/>
    <mergeCell ref="B13:B15"/>
    <mergeCell ref="B16:B18"/>
    <mergeCell ref="H13:H15"/>
    <mergeCell ref="F14:G14"/>
    <mergeCell ref="C16:C18"/>
    <mergeCell ref="D16:D18"/>
    <mergeCell ref="E16:E18"/>
    <mergeCell ref="H16:H18"/>
    <mergeCell ref="F17:G17"/>
    <mergeCell ref="B19:B21"/>
    <mergeCell ref="C19:C21"/>
    <mergeCell ref="D19:D21"/>
    <mergeCell ref="E19:E21"/>
    <mergeCell ref="H19:H21"/>
    <mergeCell ref="I19:I21"/>
    <mergeCell ref="D31:D42"/>
    <mergeCell ref="E31:E42"/>
    <mergeCell ref="B31:B41"/>
    <mergeCell ref="F32:G32"/>
    <mergeCell ref="F35:G35"/>
    <mergeCell ref="F38:G38"/>
    <mergeCell ref="I31:I33"/>
    <mergeCell ref="H40:H42"/>
    <mergeCell ref="I40:I42"/>
    <mergeCell ref="F41:G41"/>
    <mergeCell ref="B43:B45"/>
    <mergeCell ref="C43:C45"/>
    <mergeCell ref="D43:D45"/>
    <mergeCell ref="A22:A45"/>
    <mergeCell ref="B22:B30"/>
    <mergeCell ref="C22:C24"/>
    <mergeCell ref="D22:D30"/>
    <mergeCell ref="E22:E30"/>
    <mergeCell ref="C25:C27"/>
    <mergeCell ref="C40:C42"/>
    <mergeCell ref="E43:E45"/>
    <mergeCell ref="C31:C33"/>
    <mergeCell ref="C34:C36"/>
    <mergeCell ref="C37:C39"/>
    <mergeCell ref="A13:A15"/>
    <mergeCell ref="C13:C15"/>
    <mergeCell ref="D13:D15"/>
    <mergeCell ref="E13:E15"/>
    <mergeCell ref="I13:I15"/>
    <mergeCell ref="J13:J15"/>
    <mergeCell ref="A16:A21"/>
    <mergeCell ref="F26:G26"/>
    <mergeCell ref="F29:G29"/>
    <mergeCell ref="J19:J21"/>
    <mergeCell ref="F20:G20"/>
    <mergeCell ref="H22:H24"/>
    <mergeCell ref="I22:I24"/>
    <mergeCell ref="J22:J24"/>
    <mergeCell ref="F23:G23"/>
    <mergeCell ref="H25:H27"/>
    <mergeCell ref="C28:C30"/>
    <mergeCell ref="I25:I27"/>
    <mergeCell ref="J25:J27"/>
    <mergeCell ref="H28:H30"/>
    <mergeCell ref="I28:I30"/>
    <mergeCell ref="J28:J30"/>
    <mergeCell ref="I16:I18"/>
    <mergeCell ref="J16:J18"/>
    <mergeCell ref="H43:H45"/>
    <mergeCell ref="I43:I45"/>
    <mergeCell ref="J43:J45"/>
    <mergeCell ref="F44:G44"/>
    <mergeCell ref="H31:H33"/>
    <mergeCell ref="H34:H36"/>
    <mergeCell ref="I34:I36"/>
    <mergeCell ref="J34:J36"/>
    <mergeCell ref="H37:H39"/>
    <mergeCell ref="I37:I39"/>
    <mergeCell ref="J37:J39"/>
    <mergeCell ref="J31:J33"/>
    <mergeCell ref="J40:J42"/>
  </mergeCells>
  <conditionalFormatting sqref="F12">
    <cfRule type="cellIs" dxfId="69" priority="1" operator="lessThan">
      <formula>$F$16</formula>
    </cfRule>
    <cfRule type="cellIs" dxfId="68" priority="2" operator="greaterThanOrEqual">
      <formula>$F$16</formula>
    </cfRule>
  </conditionalFormatting>
  <conditionalFormatting sqref="F15">
    <cfRule type="cellIs" dxfId="67" priority="3" operator="lessThan">
      <formula>$F$16</formula>
    </cfRule>
    <cfRule type="cellIs" dxfId="66" priority="4" operator="greaterThanOrEqual">
      <formula>$F$16</formula>
    </cfRule>
  </conditionalFormatting>
  <conditionalFormatting sqref="F18">
    <cfRule type="cellIs" dxfId="65" priority="5" operator="lessThan">
      <formula>$F$16</formula>
    </cfRule>
    <cfRule type="cellIs" dxfId="64" priority="6" operator="greaterThanOrEqual">
      <formula>$F$16</formula>
    </cfRule>
  </conditionalFormatting>
  <conditionalFormatting sqref="F21">
    <cfRule type="cellIs" dxfId="63" priority="7" operator="lessThan">
      <formula>$F$16</formula>
    </cfRule>
    <cfRule type="cellIs" dxfId="62" priority="8" operator="greaterThanOrEqual">
      <formula>$F$16</formula>
    </cfRule>
  </conditionalFormatting>
  <conditionalFormatting sqref="F24">
    <cfRule type="cellIs" dxfId="61" priority="9" operator="lessThan">
      <formula>$F$16</formula>
    </cfRule>
    <cfRule type="cellIs" dxfId="60" priority="10" operator="greaterThanOrEqual">
      <formula>$F$16</formula>
    </cfRule>
  </conditionalFormatting>
  <conditionalFormatting sqref="F27">
    <cfRule type="cellIs" dxfId="59" priority="11" operator="lessThan">
      <formula>$F$16</formula>
    </cfRule>
    <cfRule type="cellIs" dxfId="58" priority="12" operator="greaterThanOrEqual">
      <formula>$F$16</formula>
    </cfRule>
  </conditionalFormatting>
  <conditionalFormatting sqref="F30">
    <cfRule type="cellIs" dxfId="57" priority="13" operator="lessThan">
      <formula>$F$16</formula>
    </cfRule>
    <cfRule type="cellIs" dxfId="56" priority="14" operator="greaterThanOrEqual">
      <formula>$F$16</formula>
    </cfRule>
  </conditionalFormatting>
  <conditionalFormatting sqref="F33">
    <cfRule type="cellIs" dxfId="55" priority="15" operator="lessThan">
      <formula>$F$16</formula>
    </cfRule>
    <cfRule type="cellIs" dxfId="54" priority="16" operator="greaterThanOrEqual">
      <formula>$F$16</formula>
    </cfRule>
  </conditionalFormatting>
  <conditionalFormatting sqref="F36">
    <cfRule type="cellIs" dxfId="53" priority="17" operator="lessThan">
      <formula>$F$16</formula>
    </cfRule>
    <cfRule type="cellIs" dxfId="52" priority="18" operator="greaterThanOrEqual">
      <formula>$F$16</formula>
    </cfRule>
  </conditionalFormatting>
  <conditionalFormatting sqref="F39">
    <cfRule type="cellIs" dxfId="51" priority="19" operator="lessThan">
      <formula>$F$16</formula>
    </cfRule>
    <cfRule type="cellIs" dxfId="50" priority="20" operator="greaterThanOrEqual">
      <formula>$F$16</formula>
    </cfRule>
  </conditionalFormatting>
  <conditionalFormatting sqref="F42">
    <cfRule type="cellIs" dxfId="49" priority="21" operator="lessThan">
      <formula>$F$16</formula>
    </cfRule>
    <cfRule type="cellIs" dxfId="48" priority="22" operator="greaterThanOrEqual">
      <formula>$F$16</formula>
    </cfRule>
  </conditionalFormatting>
  <conditionalFormatting sqref="F45">
    <cfRule type="cellIs" dxfId="47" priority="23" operator="lessThan">
      <formula>$F$16</formula>
    </cfRule>
    <cfRule type="cellIs" dxfId="46" priority="24" operator="greaterThanOrEqual">
      <formula>$F$16</formula>
    </cfRule>
  </conditionalFormatting>
  <conditionalFormatting sqref="J4">
    <cfRule type="cellIs" dxfId="45" priority="25" operator="lessThan">
      <formula>$H$4</formula>
    </cfRule>
    <cfRule type="cellIs" dxfId="44" priority="26" operator="greaterThan">
      <formula>$H$4</formula>
    </cfRule>
  </conditionalFormatting>
  <pageMargins left="0.7" right="0.7" top="0.75" bottom="0.75" header="0" footer="0"/>
  <pageSetup scale="26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3"/>
  <dimension ref="A1:A1000"/>
  <sheetViews>
    <sheetView workbookViewId="0"/>
  </sheetViews>
  <sheetFormatPr baseColWidth="10" defaultColWidth="11.125" defaultRowHeight="15" customHeight="1"/>
  <cols>
    <col min="1" max="26" width="10.5" customWidth="1"/>
  </cols>
  <sheetData>
    <row r="1" spans="1:1" ht="15.75" customHeight="1">
      <c r="A1" s="6" t="s">
        <v>876</v>
      </c>
    </row>
    <row r="2" spans="1:1" ht="15.75" customHeight="1">
      <c r="A2" s="6" t="s">
        <v>877</v>
      </c>
    </row>
    <row r="3" spans="1:1" ht="15.75" customHeight="1"/>
    <row r="4" spans="1:1" ht="15.75" customHeight="1"/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4"/>
  <dimension ref="A1:Z1000"/>
  <sheetViews>
    <sheetView workbookViewId="0"/>
  </sheetViews>
  <sheetFormatPr baseColWidth="10" defaultColWidth="11.125" defaultRowHeight="15" customHeight="1"/>
  <cols>
    <col min="1" max="1" width="17.875" customWidth="1"/>
    <col min="2" max="2" width="27.375" customWidth="1"/>
    <col min="3" max="14" width="22.875" customWidth="1"/>
    <col min="15" max="15" width="10.875" customWidth="1"/>
    <col min="16" max="16" width="35.875" customWidth="1"/>
    <col min="17" max="17" width="27.125" customWidth="1"/>
    <col min="18" max="26" width="10.5" customWidth="1"/>
  </cols>
  <sheetData>
    <row r="1" spans="1:26" ht="67.5" customHeight="1">
      <c r="A1" s="362"/>
      <c r="B1" s="348"/>
      <c r="C1" s="362" t="s">
        <v>878</v>
      </c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36"/>
      <c r="O1" s="24" t="s">
        <v>167</v>
      </c>
      <c r="P1" s="363" t="s">
        <v>168</v>
      </c>
      <c r="Q1" s="322"/>
      <c r="R1" s="25"/>
      <c r="S1" s="25"/>
      <c r="T1" s="25"/>
      <c r="U1" s="25"/>
      <c r="V1" s="25"/>
      <c r="W1" s="25"/>
      <c r="X1" s="25"/>
      <c r="Y1" s="25"/>
      <c r="Z1" s="25"/>
    </row>
    <row r="2" spans="1:26" ht="63" customHeight="1">
      <c r="A2" s="337"/>
      <c r="B2" s="349"/>
      <c r="C2" s="337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38"/>
      <c r="O2" s="24" t="s">
        <v>169</v>
      </c>
      <c r="P2" s="364">
        <v>43691</v>
      </c>
      <c r="Q2" s="322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>
      <c r="A3" s="42" t="s">
        <v>5</v>
      </c>
      <c r="B3" s="43" t="s">
        <v>7</v>
      </c>
      <c r="C3" s="452" t="s">
        <v>879</v>
      </c>
      <c r="D3" s="452" t="s">
        <v>880</v>
      </c>
      <c r="E3" s="452" t="s">
        <v>881</v>
      </c>
      <c r="F3" s="452" t="s">
        <v>882</v>
      </c>
      <c r="G3" s="452" t="s">
        <v>883</v>
      </c>
      <c r="H3" s="452" t="s">
        <v>884</v>
      </c>
      <c r="I3" s="452" t="s">
        <v>885</v>
      </c>
      <c r="J3" s="452" t="s">
        <v>886</v>
      </c>
      <c r="K3" s="452" t="s">
        <v>887</v>
      </c>
      <c r="L3" s="452" t="s">
        <v>888</v>
      </c>
      <c r="M3" s="452" t="s">
        <v>889</v>
      </c>
      <c r="N3" s="461" t="s">
        <v>890</v>
      </c>
      <c r="O3" s="44" t="s">
        <v>5</v>
      </c>
      <c r="P3" s="45" t="s">
        <v>7</v>
      </c>
      <c r="Q3" s="46">
        <f>$C$15</f>
        <v>0</v>
      </c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>
      <c r="A4" s="47" t="s">
        <v>891</v>
      </c>
      <c r="B4" s="48" t="s">
        <v>892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19"/>
      <c r="O4" s="49" t="s">
        <v>893</v>
      </c>
      <c r="P4" s="50" t="s">
        <v>137</v>
      </c>
      <c r="Q4" s="51">
        <f>$C$32</f>
        <v>0</v>
      </c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>
      <c r="A5" s="52">
        <v>101</v>
      </c>
      <c r="B5" s="53" t="s">
        <v>894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49" t="s">
        <v>895</v>
      </c>
      <c r="P5" s="50" t="s">
        <v>221</v>
      </c>
      <c r="Q5" s="51">
        <f>$C$44</f>
        <v>0</v>
      </c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>
      <c r="A6" s="52">
        <v>102</v>
      </c>
      <c r="B6" s="53" t="s">
        <v>896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49" t="s">
        <v>897</v>
      </c>
      <c r="P6" s="50" t="s">
        <v>898</v>
      </c>
      <c r="Q6" s="51">
        <f>$C$57</f>
        <v>0</v>
      </c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>
      <c r="A7" s="52">
        <v>103</v>
      </c>
      <c r="B7" s="53" t="s">
        <v>899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  <c r="O7" s="49" t="s">
        <v>900</v>
      </c>
      <c r="P7" s="50" t="s">
        <v>901</v>
      </c>
      <c r="Q7" s="51">
        <f>$C$74</f>
        <v>0</v>
      </c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>
      <c r="A8" s="52">
        <v>104</v>
      </c>
      <c r="B8" s="53" t="s">
        <v>902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  <c r="O8" s="49" t="s">
        <v>903</v>
      </c>
      <c r="P8" s="50" t="s">
        <v>904</v>
      </c>
      <c r="Q8" s="51">
        <f>$C$87</f>
        <v>0</v>
      </c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>
      <c r="A9" s="52">
        <v>105</v>
      </c>
      <c r="B9" s="53" t="s">
        <v>905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  <c r="O9" s="49" t="s">
        <v>906</v>
      </c>
      <c r="P9" s="50" t="s">
        <v>466</v>
      </c>
      <c r="Q9" s="51">
        <f>$C$102</f>
        <v>0</v>
      </c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>
      <c r="A10" s="52">
        <v>904</v>
      </c>
      <c r="B10" s="53" t="s">
        <v>907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49" t="s">
        <v>908</v>
      </c>
      <c r="P10" s="50" t="s">
        <v>108</v>
      </c>
      <c r="Q10" s="51">
        <f>$C$115</f>
        <v>0</v>
      </c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>
      <c r="A11" s="52"/>
      <c r="B11" s="53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49" t="s">
        <v>909</v>
      </c>
      <c r="P11" s="50" t="s">
        <v>796</v>
      </c>
      <c r="Q11" s="51">
        <f>$C$128</f>
        <v>0</v>
      </c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58"/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1"/>
      <c r="O12" s="49" t="s">
        <v>910</v>
      </c>
      <c r="P12" s="50" t="s">
        <v>601</v>
      </c>
      <c r="Q12" s="51">
        <f>$C$141</f>
        <v>0</v>
      </c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453" t="s">
        <v>911</v>
      </c>
      <c r="B13" s="322"/>
      <c r="C13" s="62">
        <f t="shared" ref="C13:N13" si="0">SUM(C5:C12)</f>
        <v>0</v>
      </c>
      <c r="D13" s="63">
        <f t="shared" si="0"/>
        <v>0</v>
      </c>
      <c r="E13" s="63">
        <f t="shared" si="0"/>
        <v>0</v>
      </c>
      <c r="F13" s="63">
        <f t="shared" si="0"/>
        <v>0</v>
      </c>
      <c r="G13" s="63">
        <f t="shared" si="0"/>
        <v>0</v>
      </c>
      <c r="H13" s="63">
        <f t="shared" si="0"/>
        <v>0</v>
      </c>
      <c r="I13" s="63">
        <f t="shared" si="0"/>
        <v>0</v>
      </c>
      <c r="J13" s="63">
        <f t="shared" si="0"/>
        <v>0</v>
      </c>
      <c r="K13" s="63">
        <f t="shared" si="0"/>
        <v>0</v>
      </c>
      <c r="L13" s="63">
        <f t="shared" si="0"/>
        <v>0</v>
      </c>
      <c r="M13" s="63">
        <f t="shared" si="0"/>
        <v>0</v>
      </c>
      <c r="N13" s="64">
        <f t="shared" si="0"/>
        <v>0</v>
      </c>
      <c r="O13" s="49" t="s">
        <v>912</v>
      </c>
      <c r="P13" s="50" t="s">
        <v>913</v>
      </c>
      <c r="Q13" s="51">
        <f>$C$154</f>
        <v>0</v>
      </c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>
      <c r="A14" s="454" t="s">
        <v>914</v>
      </c>
      <c r="B14" s="322"/>
      <c r="C14" s="6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66" t="s">
        <v>915</v>
      </c>
      <c r="P14" s="67" t="s">
        <v>916</v>
      </c>
      <c r="Q14" s="68">
        <f>$C$167</f>
        <v>0</v>
      </c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A15" s="455" t="s">
        <v>173</v>
      </c>
      <c r="B15" s="322"/>
      <c r="C15" s="69">
        <f>SUM(C13:N13)</f>
        <v>0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460" t="s">
        <v>917</v>
      </c>
      <c r="P15" s="322"/>
      <c r="Q15" s="70">
        <f>SUM(Q3:Q14)</f>
        <v>0</v>
      </c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6.5" customHeight="1">
      <c r="A16" s="42" t="s">
        <v>893</v>
      </c>
      <c r="B16" s="43" t="s">
        <v>137</v>
      </c>
      <c r="C16" s="452" t="s">
        <v>879</v>
      </c>
      <c r="D16" s="452" t="s">
        <v>880</v>
      </c>
      <c r="E16" s="452" t="s">
        <v>881</v>
      </c>
      <c r="F16" s="452" t="s">
        <v>882</v>
      </c>
      <c r="G16" s="452" t="s">
        <v>883</v>
      </c>
      <c r="H16" s="452" t="s">
        <v>884</v>
      </c>
      <c r="I16" s="452" t="s">
        <v>885</v>
      </c>
      <c r="J16" s="452" t="s">
        <v>886</v>
      </c>
      <c r="K16" s="452" t="s">
        <v>887</v>
      </c>
      <c r="L16" s="452" t="s">
        <v>888</v>
      </c>
      <c r="M16" s="452" t="s">
        <v>889</v>
      </c>
      <c r="N16" s="452" t="s">
        <v>890</v>
      </c>
      <c r="O16" s="458" t="s">
        <v>918</v>
      </c>
      <c r="P16" s="322"/>
      <c r="Q16" s="71">
        <f>$Q$31</f>
        <v>0</v>
      </c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6.5" customHeight="1">
      <c r="A17" s="47" t="s">
        <v>891</v>
      </c>
      <c r="B17" s="48" t="s">
        <v>892</v>
      </c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459" t="s">
        <v>919</v>
      </c>
      <c r="P17" s="322"/>
      <c r="Q17" s="72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customHeight="1">
      <c r="A18" s="52">
        <v>201</v>
      </c>
      <c r="B18" s="53" t="s">
        <v>137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454" t="s">
        <v>920</v>
      </c>
      <c r="P18" s="322"/>
      <c r="Q18" s="6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>
      <c r="A19" s="52">
        <v>203</v>
      </c>
      <c r="B19" s="53" t="s">
        <v>921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44">
        <f>$A$170</f>
        <v>0</v>
      </c>
      <c r="P19" s="45">
        <f>$B$170</f>
        <v>0</v>
      </c>
      <c r="Q19" s="46">
        <f>$C$182</f>
        <v>0</v>
      </c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52">
        <v>206</v>
      </c>
      <c r="B20" s="53" t="s">
        <v>922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9">
        <f>$A$183</f>
        <v>0</v>
      </c>
      <c r="P20" s="50">
        <f>$B$183</f>
        <v>0</v>
      </c>
      <c r="Q20" s="51">
        <f>$C$195</f>
        <v>0</v>
      </c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52">
        <v>207</v>
      </c>
      <c r="B21" s="53" t="s">
        <v>923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49">
        <f t="shared" ref="O21:P21" si="1">A209</f>
        <v>0</v>
      </c>
      <c r="P21" s="73">
        <f t="shared" si="1"/>
        <v>0</v>
      </c>
      <c r="Q21" s="51">
        <f>$C$221</f>
        <v>0</v>
      </c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52">
        <v>208</v>
      </c>
      <c r="B22" s="53" t="s">
        <v>924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9">
        <f t="shared" ref="O22:P22" si="2">A222</f>
        <v>0</v>
      </c>
      <c r="P22" s="73">
        <f t="shared" si="2"/>
        <v>0</v>
      </c>
      <c r="Q22" s="51">
        <f>$C$234</f>
        <v>0</v>
      </c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52">
        <v>209</v>
      </c>
      <c r="B23" s="53" t="s">
        <v>925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9">
        <f t="shared" ref="O23:P23" si="3">A235</f>
        <v>0</v>
      </c>
      <c r="P23" s="73">
        <f t="shared" si="3"/>
        <v>0</v>
      </c>
      <c r="Q23" s="51">
        <f>$C$247</f>
        <v>0</v>
      </c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52">
        <v>210</v>
      </c>
      <c r="B24" s="53" t="s">
        <v>926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49">
        <f t="shared" ref="O24:P24" si="4">A248</f>
        <v>0</v>
      </c>
      <c r="P24" s="73">
        <f t="shared" si="4"/>
        <v>0</v>
      </c>
      <c r="Q24" s="51">
        <f>$C$260</f>
        <v>0</v>
      </c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52">
        <v>211</v>
      </c>
      <c r="B25" s="53" t="s">
        <v>927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9">
        <f t="shared" ref="O25:P25" si="5">A261</f>
        <v>0</v>
      </c>
      <c r="P25" s="73">
        <f t="shared" si="5"/>
        <v>0</v>
      </c>
      <c r="Q25" s="51">
        <f>$C$273</f>
        <v>0</v>
      </c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52">
        <v>212</v>
      </c>
      <c r="B26" s="53" t="s">
        <v>928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49">
        <f t="shared" ref="O26:P26" si="6">A274</f>
        <v>0</v>
      </c>
      <c r="P26" s="73">
        <f t="shared" si="6"/>
        <v>0</v>
      </c>
      <c r="Q26" s="51">
        <f>$C$286</f>
        <v>0</v>
      </c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58">
        <v>603</v>
      </c>
      <c r="B27" s="59" t="s">
        <v>929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49"/>
      <c r="P27" s="50"/>
      <c r="Q27" s="51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58"/>
      <c r="B28" s="59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49"/>
      <c r="P28" s="50"/>
      <c r="Q28" s="51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58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49"/>
      <c r="P29" s="50"/>
      <c r="Q29" s="51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453" t="s">
        <v>911</v>
      </c>
      <c r="B30" s="322"/>
      <c r="C30" s="62">
        <f t="shared" ref="C30:N30" si="7">SUM(C18:C29)</f>
        <v>0</v>
      </c>
      <c r="D30" s="63">
        <f t="shared" si="7"/>
        <v>0</v>
      </c>
      <c r="E30" s="63">
        <f t="shared" si="7"/>
        <v>0</v>
      </c>
      <c r="F30" s="63">
        <f t="shared" si="7"/>
        <v>0</v>
      </c>
      <c r="G30" s="63">
        <f t="shared" si="7"/>
        <v>0</v>
      </c>
      <c r="H30" s="63">
        <f t="shared" si="7"/>
        <v>0</v>
      </c>
      <c r="I30" s="63">
        <f t="shared" si="7"/>
        <v>0</v>
      </c>
      <c r="J30" s="63">
        <f t="shared" si="7"/>
        <v>0</v>
      </c>
      <c r="K30" s="63">
        <f t="shared" si="7"/>
        <v>0</v>
      </c>
      <c r="L30" s="63">
        <f t="shared" si="7"/>
        <v>0</v>
      </c>
      <c r="M30" s="63">
        <f t="shared" si="7"/>
        <v>0</v>
      </c>
      <c r="N30" s="75">
        <f t="shared" si="7"/>
        <v>0</v>
      </c>
      <c r="O30" s="66"/>
      <c r="P30" s="67"/>
      <c r="Q30" s="68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454" t="s">
        <v>914</v>
      </c>
      <c r="B31" s="322"/>
      <c r="C31" s="6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460" t="s">
        <v>918</v>
      </c>
      <c r="P31" s="322"/>
      <c r="Q31" s="76">
        <f>SUM(Q19:Q30)</f>
        <v>0</v>
      </c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455" t="s">
        <v>173</v>
      </c>
      <c r="B32" s="322"/>
      <c r="C32" s="69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42" t="s">
        <v>895</v>
      </c>
      <c r="B33" s="43" t="s">
        <v>221</v>
      </c>
      <c r="C33" s="452" t="s">
        <v>879</v>
      </c>
      <c r="D33" s="452" t="s">
        <v>880</v>
      </c>
      <c r="E33" s="452" t="s">
        <v>881</v>
      </c>
      <c r="F33" s="452" t="s">
        <v>882</v>
      </c>
      <c r="G33" s="452" t="s">
        <v>883</v>
      </c>
      <c r="H33" s="452" t="s">
        <v>884</v>
      </c>
      <c r="I33" s="452" t="s">
        <v>885</v>
      </c>
      <c r="J33" s="452" t="s">
        <v>886</v>
      </c>
      <c r="K33" s="452" t="s">
        <v>887</v>
      </c>
      <c r="L33" s="452" t="s">
        <v>888</v>
      </c>
      <c r="M33" s="452" t="s">
        <v>889</v>
      </c>
      <c r="N33" s="452" t="s">
        <v>890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47" t="s">
        <v>891</v>
      </c>
      <c r="B34" s="48" t="s">
        <v>892</v>
      </c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52">
        <v>301</v>
      </c>
      <c r="B35" s="53" t="s">
        <v>221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52">
        <v>302</v>
      </c>
      <c r="B36" s="77" t="s">
        <v>930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52">
        <v>303</v>
      </c>
      <c r="B37" s="53" t="s">
        <v>931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52">
        <v>304</v>
      </c>
      <c r="B38" s="53" t="s">
        <v>932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52">
        <v>1202</v>
      </c>
      <c r="B39" s="53" t="s">
        <v>933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52"/>
      <c r="B40" s="53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58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453" t="s">
        <v>911</v>
      </c>
      <c r="B42" s="322"/>
      <c r="C42" s="62">
        <f t="shared" ref="C42:N42" si="8">SUM(C35:C41)</f>
        <v>0</v>
      </c>
      <c r="D42" s="63">
        <f t="shared" si="8"/>
        <v>0</v>
      </c>
      <c r="E42" s="63">
        <f t="shared" si="8"/>
        <v>0</v>
      </c>
      <c r="F42" s="63">
        <f t="shared" si="8"/>
        <v>0</v>
      </c>
      <c r="G42" s="63">
        <f t="shared" si="8"/>
        <v>0</v>
      </c>
      <c r="H42" s="63">
        <f t="shared" si="8"/>
        <v>0</v>
      </c>
      <c r="I42" s="63">
        <f t="shared" si="8"/>
        <v>0</v>
      </c>
      <c r="J42" s="63">
        <f t="shared" si="8"/>
        <v>0</v>
      </c>
      <c r="K42" s="63">
        <f t="shared" si="8"/>
        <v>0</v>
      </c>
      <c r="L42" s="63">
        <f t="shared" si="8"/>
        <v>0</v>
      </c>
      <c r="M42" s="63">
        <f t="shared" si="8"/>
        <v>0</v>
      </c>
      <c r="N42" s="75">
        <f t="shared" si="8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454" t="s">
        <v>914</v>
      </c>
      <c r="B43" s="322"/>
      <c r="C43" s="6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455" t="s">
        <v>173</v>
      </c>
      <c r="B44" s="322"/>
      <c r="C44" s="69">
        <f>SUM(C42:N42)</f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42" t="s">
        <v>897</v>
      </c>
      <c r="B45" s="43" t="s">
        <v>898</v>
      </c>
      <c r="C45" s="452" t="s">
        <v>879</v>
      </c>
      <c r="D45" s="452" t="s">
        <v>880</v>
      </c>
      <c r="E45" s="452" t="s">
        <v>881</v>
      </c>
      <c r="F45" s="452" t="s">
        <v>882</v>
      </c>
      <c r="G45" s="452" t="s">
        <v>883</v>
      </c>
      <c r="H45" s="452" t="s">
        <v>884</v>
      </c>
      <c r="I45" s="452" t="s">
        <v>885</v>
      </c>
      <c r="J45" s="452" t="s">
        <v>886</v>
      </c>
      <c r="K45" s="452" t="s">
        <v>887</v>
      </c>
      <c r="L45" s="452" t="s">
        <v>888</v>
      </c>
      <c r="M45" s="452" t="s">
        <v>889</v>
      </c>
      <c r="N45" s="452" t="s">
        <v>890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47" t="s">
        <v>891</v>
      </c>
      <c r="B46" s="48" t="s">
        <v>892</v>
      </c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78">
        <v>401</v>
      </c>
      <c r="B47" s="77" t="s">
        <v>934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78">
        <v>402</v>
      </c>
      <c r="B48" s="77" t="s">
        <v>935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78">
        <v>403</v>
      </c>
      <c r="B49" s="77" t="s">
        <v>936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78">
        <v>404</v>
      </c>
      <c r="B50" s="77" t="s">
        <v>937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96" customHeight="1">
      <c r="A51" s="78">
        <v>405</v>
      </c>
      <c r="B51" s="77" t="s">
        <v>938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78">
        <v>406</v>
      </c>
      <c r="B52" s="77" t="s">
        <v>939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52"/>
      <c r="B53" s="53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58"/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453" t="s">
        <v>911</v>
      </c>
      <c r="B55" s="322"/>
      <c r="C55" s="62">
        <f t="shared" ref="C55:N55" si="9">SUM(C47:C54)</f>
        <v>0</v>
      </c>
      <c r="D55" s="63">
        <f t="shared" si="9"/>
        <v>0</v>
      </c>
      <c r="E55" s="63">
        <f t="shared" si="9"/>
        <v>0</v>
      </c>
      <c r="F55" s="63">
        <f t="shared" si="9"/>
        <v>0</v>
      </c>
      <c r="G55" s="63">
        <f t="shared" si="9"/>
        <v>0</v>
      </c>
      <c r="H55" s="63">
        <f t="shared" si="9"/>
        <v>0</v>
      </c>
      <c r="I55" s="63">
        <f t="shared" si="9"/>
        <v>0</v>
      </c>
      <c r="J55" s="63">
        <f t="shared" si="9"/>
        <v>0</v>
      </c>
      <c r="K55" s="63">
        <f t="shared" si="9"/>
        <v>0</v>
      </c>
      <c r="L55" s="63">
        <f t="shared" si="9"/>
        <v>0</v>
      </c>
      <c r="M55" s="63">
        <f t="shared" si="9"/>
        <v>0</v>
      </c>
      <c r="N55" s="75">
        <f t="shared" si="9"/>
        <v>0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454" t="s">
        <v>914</v>
      </c>
      <c r="B56" s="322"/>
      <c r="C56" s="6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455" t="s">
        <v>173</v>
      </c>
      <c r="B57" s="322"/>
      <c r="C57" s="69">
        <f>SUM(C55:N55)</f>
        <v>0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42" t="s">
        <v>900</v>
      </c>
      <c r="B58" s="43" t="s">
        <v>901</v>
      </c>
      <c r="C58" s="452" t="s">
        <v>879</v>
      </c>
      <c r="D58" s="452" t="s">
        <v>880</v>
      </c>
      <c r="E58" s="452" t="s">
        <v>881</v>
      </c>
      <c r="F58" s="452" t="s">
        <v>882</v>
      </c>
      <c r="G58" s="452" t="s">
        <v>883</v>
      </c>
      <c r="H58" s="452" t="s">
        <v>884</v>
      </c>
      <c r="I58" s="452" t="s">
        <v>885</v>
      </c>
      <c r="J58" s="452" t="s">
        <v>886</v>
      </c>
      <c r="K58" s="452" t="s">
        <v>887</v>
      </c>
      <c r="L58" s="452" t="s">
        <v>888</v>
      </c>
      <c r="M58" s="452" t="s">
        <v>889</v>
      </c>
      <c r="N58" s="452" t="s">
        <v>890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47" t="s">
        <v>891</v>
      </c>
      <c r="B59" s="48" t="s">
        <v>892</v>
      </c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78">
        <v>501</v>
      </c>
      <c r="B60" s="77" t="s">
        <v>940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78">
        <v>502</v>
      </c>
      <c r="B61" s="77" t="s">
        <v>941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78">
        <v>503</v>
      </c>
      <c r="B62" s="77" t="s">
        <v>942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78">
        <v>504</v>
      </c>
      <c r="B63" s="77" t="s">
        <v>943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78">
        <v>505</v>
      </c>
      <c r="B64" s="77" t="s">
        <v>944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78">
        <v>506</v>
      </c>
      <c r="B65" s="77" t="s">
        <v>945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78">
        <v>507</v>
      </c>
      <c r="B66" s="77" t="s">
        <v>946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78">
        <v>508</v>
      </c>
      <c r="B67" s="77" t="s">
        <v>947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78">
        <v>509</v>
      </c>
      <c r="B68" s="77" t="s">
        <v>948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78">
        <v>510</v>
      </c>
      <c r="B69" s="77" t="s">
        <v>949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52"/>
      <c r="B70" s="53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5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453" t="s">
        <v>911</v>
      </c>
      <c r="B72" s="322"/>
      <c r="C72" s="62">
        <f t="shared" ref="C72:N72" si="10">SUM(C60:C71)</f>
        <v>0</v>
      </c>
      <c r="D72" s="63">
        <f t="shared" si="10"/>
        <v>0</v>
      </c>
      <c r="E72" s="63">
        <f t="shared" si="10"/>
        <v>0</v>
      </c>
      <c r="F72" s="63">
        <f t="shared" si="10"/>
        <v>0</v>
      </c>
      <c r="G72" s="63">
        <f t="shared" si="10"/>
        <v>0</v>
      </c>
      <c r="H72" s="63">
        <f t="shared" si="10"/>
        <v>0</v>
      </c>
      <c r="I72" s="63">
        <f t="shared" si="10"/>
        <v>0</v>
      </c>
      <c r="J72" s="63">
        <f t="shared" si="10"/>
        <v>0</v>
      </c>
      <c r="K72" s="63">
        <f t="shared" si="10"/>
        <v>0</v>
      </c>
      <c r="L72" s="63">
        <f t="shared" si="10"/>
        <v>0</v>
      </c>
      <c r="M72" s="63">
        <f t="shared" si="10"/>
        <v>0</v>
      </c>
      <c r="N72" s="75">
        <f t="shared" si="10"/>
        <v>0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454" t="s">
        <v>914</v>
      </c>
      <c r="B73" s="322"/>
      <c r="C73" s="6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455" t="s">
        <v>173</v>
      </c>
      <c r="B74" s="322"/>
      <c r="C74" s="69">
        <f>SUM(C72:N72)</f>
        <v>0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42" t="s">
        <v>903</v>
      </c>
      <c r="B75" s="43" t="s">
        <v>904</v>
      </c>
      <c r="C75" s="452" t="s">
        <v>879</v>
      </c>
      <c r="D75" s="452" t="s">
        <v>880</v>
      </c>
      <c r="E75" s="452" t="s">
        <v>881</v>
      </c>
      <c r="F75" s="452" t="s">
        <v>882</v>
      </c>
      <c r="G75" s="452" t="s">
        <v>883</v>
      </c>
      <c r="H75" s="452" t="s">
        <v>884</v>
      </c>
      <c r="I75" s="452" t="s">
        <v>885</v>
      </c>
      <c r="J75" s="452" t="s">
        <v>886</v>
      </c>
      <c r="K75" s="452" t="s">
        <v>887</v>
      </c>
      <c r="L75" s="452" t="s">
        <v>888</v>
      </c>
      <c r="M75" s="452" t="s">
        <v>889</v>
      </c>
      <c r="N75" s="452" t="s">
        <v>890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47" t="s">
        <v>891</v>
      </c>
      <c r="B76" s="48" t="s">
        <v>892</v>
      </c>
      <c r="C76" s="306"/>
      <c r="D76" s="306"/>
      <c r="E76" s="306"/>
      <c r="F76" s="306"/>
      <c r="G76" s="306"/>
      <c r="H76" s="306"/>
      <c r="I76" s="306"/>
      <c r="J76" s="306"/>
      <c r="K76" s="306"/>
      <c r="L76" s="306"/>
      <c r="M76" s="306"/>
      <c r="N76" s="306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52">
        <v>601</v>
      </c>
      <c r="B77" s="53" t="s">
        <v>904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52">
        <v>602</v>
      </c>
      <c r="B78" s="53" t="s">
        <v>950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52"/>
      <c r="B79" s="53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52"/>
      <c r="B80" s="53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52"/>
      <c r="B81" s="53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52"/>
      <c r="B82" s="53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52"/>
      <c r="B83" s="53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58"/>
      <c r="B84" s="59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453" t="s">
        <v>911</v>
      </c>
      <c r="B85" s="322"/>
      <c r="C85" s="62">
        <f t="shared" ref="C85:N85" si="11">SUM(C77:C84)</f>
        <v>0</v>
      </c>
      <c r="D85" s="63">
        <f t="shared" si="11"/>
        <v>0</v>
      </c>
      <c r="E85" s="63">
        <f t="shared" si="11"/>
        <v>0</v>
      </c>
      <c r="F85" s="63">
        <f t="shared" si="11"/>
        <v>0</v>
      </c>
      <c r="G85" s="63">
        <f t="shared" si="11"/>
        <v>0</v>
      </c>
      <c r="H85" s="63">
        <f t="shared" si="11"/>
        <v>0</v>
      </c>
      <c r="I85" s="63">
        <f t="shared" si="11"/>
        <v>0</v>
      </c>
      <c r="J85" s="63">
        <f t="shared" si="11"/>
        <v>0</v>
      </c>
      <c r="K85" s="63">
        <f t="shared" si="11"/>
        <v>0</v>
      </c>
      <c r="L85" s="63">
        <f t="shared" si="11"/>
        <v>0</v>
      </c>
      <c r="M85" s="63">
        <f t="shared" si="11"/>
        <v>0</v>
      </c>
      <c r="N85" s="75">
        <f t="shared" si="11"/>
        <v>0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454" t="s">
        <v>914</v>
      </c>
      <c r="B86" s="322"/>
      <c r="C86" s="6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455" t="s">
        <v>173</v>
      </c>
      <c r="B87" s="322"/>
      <c r="C87" s="69">
        <f>SUM(C85:N85)</f>
        <v>0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42" t="s">
        <v>906</v>
      </c>
      <c r="B88" s="43" t="s">
        <v>951</v>
      </c>
      <c r="C88" s="452" t="s">
        <v>879</v>
      </c>
      <c r="D88" s="452" t="s">
        <v>880</v>
      </c>
      <c r="E88" s="452" t="s">
        <v>881</v>
      </c>
      <c r="F88" s="452" t="s">
        <v>882</v>
      </c>
      <c r="G88" s="452" t="s">
        <v>883</v>
      </c>
      <c r="H88" s="452" t="s">
        <v>884</v>
      </c>
      <c r="I88" s="452" t="s">
        <v>885</v>
      </c>
      <c r="J88" s="452" t="s">
        <v>886</v>
      </c>
      <c r="K88" s="452" t="s">
        <v>887</v>
      </c>
      <c r="L88" s="452" t="s">
        <v>888</v>
      </c>
      <c r="M88" s="452" t="s">
        <v>889</v>
      </c>
      <c r="N88" s="452" t="s">
        <v>890</v>
      </c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47" t="s">
        <v>891</v>
      </c>
      <c r="B89" s="48" t="s">
        <v>892</v>
      </c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78">
        <v>701</v>
      </c>
      <c r="B90" s="77" t="s">
        <v>952</v>
      </c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78">
        <v>702</v>
      </c>
      <c r="B91" s="77" t="s">
        <v>953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78">
        <v>703</v>
      </c>
      <c r="B92" s="77" t="s">
        <v>954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78">
        <v>704</v>
      </c>
      <c r="B93" s="77" t="s">
        <v>955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78">
        <v>705</v>
      </c>
      <c r="B94" s="77" t="s">
        <v>956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78">
        <v>706</v>
      </c>
      <c r="B95" s="77" t="s">
        <v>575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78">
        <v>709</v>
      </c>
      <c r="B96" s="77" t="s">
        <v>957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78">
        <v>710</v>
      </c>
      <c r="B97" s="77" t="s">
        <v>958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52"/>
      <c r="B98" s="53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58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453" t="s">
        <v>911</v>
      </c>
      <c r="B100" s="322"/>
      <c r="C100" s="62">
        <f t="shared" ref="C100:N100" si="12">SUM(C90:C99)</f>
        <v>0</v>
      </c>
      <c r="D100" s="63">
        <f t="shared" si="12"/>
        <v>0</v>
      </c>
      <c r="E100" s="63">
        <f t="shared" si="12"/>
        <v>0</v>
      </c>
      <c r="F100" s="63">
        <f t="shared" si="12"/>
        <v>0</v>
      </c>
      <c r="G100" s="63">
        <f t="shared" si="12"/>
        <v>0</v>
      </c>
      <c r="H100" s="63">
        <f t="shared" si="12"/>
        <v>0</v>
      </c>
      <c r="I100" s="63">
        <f t="shared" si="12"/>
        <v>0</v>
      </c>
      <c r="J100" s="63">
        <f t="shared" si="12"/>
        <v>0</v>
      </c>
      <c r="K100" s="63">
        <f t="shared" si="12"/>
        <v>0</v>
      </c>
      <c r="L100" s="63">
        <f t="shared" si="12"/>
        <v>0</v>
      </c>
      <c r="M100" s="63">
        <f t="shared" si="12"/>
        <v>0</v>
      </c>
      <c r="N100" s="75">
        <f t="shared" si="12"/>
        <v>0</v>
      </c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454" t="s">
        <v>914</v>
      </c>
      <c r="B101" s="322"/>
      <c r="C101" s="6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455" t="s">
        <v>173</v>
      </c>
      <c r="B102" s="322"/>
      <c r="C102" s="69">
        <f>SUM(C100:N100)</f>
        <v>0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42" t="s">
        <v>908</v>
      </c>
      <c r="B103" s="43" t="s">
        <v>108</v>
      </c>
      <c r="C103" s="452" t="s">
        <v>879</v>
      </c>
      <c r="D103" s="452" t="s">
        <v>880</v>
      </c>
      <c r="E103" s="452" t="s">
        <v>881</v>
      </c>
      <c r="F103" s="452" t="s">
        <v>882</v>
      </c>
      <c r="G103" s="452" t="s">
        <v>883</v>
      </c>
      <c r="H103" s="452" t="s">
        <v>884</v>
      </c>
      <c r="I103" s="452" t="s">
        <v>885</v>
      </c>
      <c r="J103" s="452" t="s">
        <v>886</v>
      </c>
      <c r="K103" s="452" t="s">
        <v>887</v>
      </c>
      <c r="L103" s="452" t="s">
        <v>888</v>
      </c>
      <c r="M103" s="452" t="s">
        <v>889</v>
      </c>
      <c r="N103" s="452" t="s">
        <v>890</v>
      </c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47" t="s">
        <v>891</v>
      </c>
      <c r="B104" s="48" t="s">
        <v>892</v>
      </c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78">
        <v>801</v>
      </c>
      <c r="B105" s="77" t="s">
        <v>959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78">
        <v>802</v>
      </c>
      <c r="B106" s="77" t="s">
        <v>960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78">
        <v>803</v>
      </c>
      <c r="B107" s="77" t="s">
        <v>961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78">
        <v>708</v>
      </c>
      <c r="B108" s="77" t="s">
        <v>962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52"/>
      <c r="B109" s="53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52"/>
      <c r="B110" s="53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52"/>
      <c r="B111" s="53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58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453" t="s">
        <v>911</v>
      </c>
      <c r="B113" s="322"/>
      <c r="C113" s="62">
        <f t="shared" ref="C113:N113" si="13">SUM(C105:C112)</f>
        <v>0</v>
      </c>
      <c r="D113" s="63">
        <f t="shared" si="13"/>
        <v>0</v>
      </c>
      <c r="E113" s="63">
        <f t="shared" si="13"/>
        <v>0</v>
      </c>
      <c r="F113" s="63">
        <f t="shared" si="13"/>
        <v>0</v>
      </c>
      <c r="G113" s="63">
        <f t="shared" si="13"/>
        <v>0</v>
      </c>
      <c r="H113" s="63">
        <f t="shared" si="13"/>
        <v>0</v>
      </c>
      <c r="I113" s="63">
        <f t="shared" si="13"/>
        <v>0</v>
      </c>
      <c r="J113" s="63">
        <f t="shared" si="13"/>
        <v>0</v>
      </c>
      <c r="K113" s="63">
        <f t="shared" si="13"/>
        <v>0</v>
      </c>
      <c r="L113" s="63">
        <f t="shared" si="13"/>
        <v>0</v>
      </c>
      <c r="M113" s="63">
        <f t="shared" si="13"/>
        <v>0</v>
      </c>
      <c r="N113" s="75">
        <f t="shared" si="13"/>
        <v>0</v>
      </c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454" t="s">
        <v>914</v>
      </c>
      <c r="B114" s="322"/>
      <c r="C114" s="6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455" t="s">
        <v>173</v>
      </c>
      <c r="B115" s="322"/>
      <c r="C115" s="69">
        <f>SUM(C113:N113)</f>
        <v>0</v>
      </c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42" t="s">
        <v>909</v>
      </c>
      <c r="B116" s="43" t="s">
        <v>796</v>
      </c>
      <c r="C116" s="452" t="s">
        <v>879</v>
      </c>
      <c r="D116" s="452" t="s">
        <v>880</v>
      </c>
      <c r="E116" s="452" t="s">
        <v>881</v>
      </c>
      <c r="F116" s="452" t="s">
        <v>882</v>
      </c>
      <c r="G116" s="452" t="s">
        <v>883</v>
      </c>
      <c r="H116" s="452" t="s">
        <v>884</v>
      </c>
      <c r="I116" s="452" t="s">
        <v>885</v>
      </c>
      <c r="J116" s="452" t="s">
        <v>886</v>
      </c>
      <c r="K116" s="452" t="s">
        <v>887</v>
      </c>
      <c r="L116" s="452" t="s">
        <v>888</v>
      </c>
      <c r="M116" s="452" t="s">
        <v>889</v>
      </c>
      <c r="N116" s="452" t="s">
        <v>890</v>
      </c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47" t="s">
        <v>891</v>
      </c>
      <c r="B117" s="48" t="s">
        <v>892</v>
      </c>
      <c r="C117" s="306"/>
      <c r="D117" s="306"/>
      <c r="E117" s="306"/>
      <c r="F117" s="306"/>
      <c r="G117" s="306"/>
      <c r="H117" s="306"/>
      <c r="I117" s="306"/>
      <c r="J117" s="306"/>
      <c r="K117" s="306"/>
      <c r="L117" s="306"/>
      <c r="M117" s="306"/>
      <c r="N117" s="306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78">
        <v>901</v>
      </c>
      <c r="B118" s="77" t="s">
        <v>963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78">
        <v>902</v>
      </c>
      <c r="B119" s="77" t="s">
        <v>964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78">
        <v>903</v>
      </c>
      <c r="B120" s="77" t="s">
        <v>965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52"/>
      <c r="B121" s="53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52"/>
      <c r="B122" s="53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52"/>
      <c r="B123" s="53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52"/>
      <c r="B124" s="53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58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453" t="s">
        <v>911</v>
      </c>
      <c r="B126" s="322"/>
      <c r="C126" s="62">
        <f t="shared" ref="C126:N126" si="14">SUM(C118:C125)</f>
        <v>0</v>
      </c>
      <c r="D126" s="63">
        <f t="shared" si="14"/>
        <v>0</v>
      </c>
      <c r="E126" s="63">
        <f t="shared" si="14"/>
        <v>0</v>
      </c>
      <c r="F126" s="63">
        <f t="shared" si="14"/>
        <v>0</v>
      </c>
      <c r="G126" s="63">
        <f t="shared" si="14"/>
        <v>0</v>
      </c>
      <c r="H126" s="63">
        <f t="shared" si="14"/>
        <v>0</v>
      </c>
      <c r="I126" s="63">
        <f t="shared" si="14"/>
        <v>0</v>
      </c>
      <c r="J126" s="63">
        <f t="shared" si="14"/>
        <v>0</v>
      </c>
      <c r="K126" s="63">
        <f t="shared" si="14"/>
        <v>0</v>
      </c>
      <c r="L126" s="63">
        <f t="shared" si="14"/>
        <v>0</v>
      </c>
      <c r="M126" s="63">
        <f t="shared" si="14"/>
        <v>0</v>
      </c>
      <c r="N126" s="75">
        <f t="shared" si="14"/>
        <v>0</v>
      </c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454" t="s">
        <v>914</v>
      </c>
      <c r="B127" s="322"/>
      <c r="C127" s="6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455" t="s">
        <v>173</v>
      </c>
      <c r="B128" s="322"/>
      <c r="C128" s="69">
        <f>SUM(C126:N126)</f>
        <v>0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42" t="s">
        <v>910</v>
      </c>
      <c r="B129" s="43" t="s">
        <v>601</v>
      </c>
      <c r="C129" s="452" t="s">
        <v>879</v>
      </c>
      <c r="D129" s="452" t="s">
        <v>880</v>
      </c>
      <c r="E129" s="452" t="s">
        <v>881</v>
      </c>
      <c r="F129" s="452" t="s">
        <v>882</v>
      </c>
      <c r="G129" s="452" t="s">
        <v>883</v>
      </c>
      <c r="H129" s="452" t="s">
        <v>884</v>
      </c>
      <c r="I129" s="452" t="s">
        <v>885</v>
      </c>
      <c r="J129" s="452" t="s">
        <v>886</v>
      </c>
      <c r="K129" s="452" t="s">
        <v>887</v>
      </c>
      <c r="L129" s="452" t="s">
        <v>888</v>
      </c>
      <c r="M129" s="452" t="s">
        <v>889</v>
      </c>
      <c r="N129" s="452" t="s">
        <v>890</v>
      </c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47" t="s">
        <v>891</v>
      </c>
      <c r="B130" s="48" t="s">
        <v>892</v>
      </c>
      <c r="C130" s="306"/>
      <c r="D130" s="306"/>
      <c r="E130" s="306"/>
      <c r="F130" s="306"/>
      <c r="G130" s="306"/>
      <c r="H130" s="306"/>
      <c r="I130" s="306"/>
      <c r="J130" s="306"/>
      <c r="K130" s="306"/>
      <c r="L130" s="306"/>
      <c r="M130" s="306"/>
      <c r="N130" s="306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78">
        <v>1001</v>
      </c>
      <c r="B131" s="77" t="s">
        <v>601</v>
      </c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78">
        <v>1002</v>
      </c>
      <c r="B132" s="77" t="s">
        <v>966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78">
        <v>1004</v>
      </c>
      <c r="B133" s="77" t="s">
        <v>967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78">
        <v>1105</v>
      </c>
      <c r="B134" s="77" t="s">
        <v>968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52"/>
      <c r="B135" s="53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52"/>
      <c r="B136" s="53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52"/>
      <c r="B137" s="53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58"/>
      <c r="B138" s="59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453" t="s">
        <v>911</v>
      </c>
      <c r="B139" s="322"/>
      <c r="C139" s="62">
        <f t="shared" ref="C139:N139" si="15">SUM(C131:C138)</f>
        <v>0</v>
      </c>
      <c r="D139" s="63">
        <f t="shared" si="15"/>
        <v>0</v>
      </c>
      <c r="E139" s="63">
        <f t="shared" si="15"/>
        <v>0</v>
      </c>
      <c r="F139" s="63">
        <f t="shared" si="15"/>
        <v>0</v>
      </c>
      <c r="G139" s="63">
        <f t="shared" si="15"/>
        <v>0</v>
      </c>
      <c r="H139" s="63">
        <f t="shared" si="15"/>
        <v>0</v>
      </c>
      <c r="I139" s="63">
        <f t="shared" si="15"/>
        <v>0</v>
      </c>
      <c r="J139" s="63">
        <f t="shared" si="15"/>
        <v>0</v>
      </c>
      <c r="K139" s="63">
        <f t="shared" si="15"/>
        <v>0</v>
      </c>
      <c r="L139" s="63">
        <f t="shared" si="15"/>
        <v>0</v>
      </c>
      <c r="M139" s="63">
        <f t="shared" si="15"/>
        <v>0</v>
      </c>
      <c r="N139" s="75">
        <f t="shared" si="15"/>
        <v>0</v>
      </c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454" t="s">
        <v>914</v>
      </c>
      <c r="B140" s="322"/>
      <c r="C140" s="6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455" t="s">
        <v>173</v>
      </c>
      <c r="B141" s="322"/>
      <c r="C141" s="69">
        <f>SUM(C139:N139)</f>
        <v>0</v>
      </c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42" t="s">
        <v>912</v>
      </c>
      <c r="B142" s="43" t="s">
        <v>913</v>
      </c>
      <c r="C142" s="452" t="s">
        <v>879</v>
      </c>
      <c r="D142" s="452" t="s">
        <v>880</v>
      </c>
      <c r="E142" s="452" t="s">
        <v>881</v>
      </c>
      <c r="F142" s="452" t="s">
        <v>882</v>
      </c>
      <c r="G142" s="452" t="s">
        <v>883</v>
      </c>
      <c r="H142" s="452" t="s">
        <v>884</v>
      </c>
      <c r="I142" s="452" t="s">
        <v>885</v>
      </c>
      <c r="J142" s="452" t="s">
        <v>886</v>
      </c>
      <c r="K142" s="452" t="s">
        <v>887</v>
      </c>
      <c r="L142" s="452" t="s">
        <v>888</v>
      </c>
      <c r="M142" s="452" t="s">
        <v>889</v>
      </c>
      <c r="N142" s="452" t="s">
        <v>890</v>
      </c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47" t="s">
        <v>891</v>
      </c>
      <c r="B143" s="48" t="s">
        <v>892</v>
      </c>
      <c r="C143" s="306"/>
      <c r="D143" s="306"/>
      <c r="E143" s="306"/>
      <c r="F143" s="306"/>
      <c r="G143" s="306"/>
      <c r="H143" s="306"/>
      <c r="I143" s="306"/>
      <c r="J143" s="306"/>
      <c r="K143" s="306"/>
      <c r="L143" s="306"/>
      <c r="M143" s="306"/>
      <c r="N143" s="306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78">
        <v>1101</v>
      </c>
      <c r="B144" s="77" t="s">
        <v>969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78">
        <v>1102</v>
      </c>
      <c r="B145" s="77" t="s">
        <v>970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78">
        <v>1103</v>
      </c>
      <c r="B146" s="77" t="s">
        <v>971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78">
        <v>1104</v>
      </c>
      <c r="B147" s="77" t="s">
        <v>972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52"/>
      <c r="B148" s="53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52"/>
      <c r="B149" s="53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52"/>
      <c r="B150" s="53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58"/>
      <c r="B151" s="59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453" t="s">
        <v>911</v>
      </c>
      <c r="B152" s="322"/>
      <c r="C152" s="62">
        <f t="shared" ref="C152:N152" si="16">SUM(C144:C151)</f>
        <v>0</v>
      </c>
      <c r="D152" s="63">
        <f t="shared" si="16"/>
        <v>0</v>
      </c>
      <c r="E152" s="63">
        <f t="shared" si="16"/>
        <v>0</v>
      </c>
      <c r="F152" s="63">
        <f t="shared" si="16"/>
        <v>0</v>
      </c>
      <c r="G152" s="63">
        <f t="shared" si="16"/>
        <v>0</v>
      </c>
      <c r="H152" s="63">
        <f t="shared" si="16"/>
        <v>0</v>
      </c>
      <c r="I152" s="63">
        <f t="shared" si="16"/>
        <v>0</v>
      </c>
      <c r="J152" s="63">
        <f t="shared" si="16"/>
        <v>0</v>
      </c>
      <c r="K152" s="63">
        <f t="shared" si="16"/>
        <v>0</v>
      </c>
      <c r="L152" s="63">
        <f t="shared" si="16"/>
        <v>0</v>
      </c>
      <c r="M152" s="63">
        <f t="shared" si="16"/>
        <v>0</v>
      </c>
      <c r="N152" s="75">
        <f t="shared" si="16"/>
        <v>0</v>
      </c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454" t="s">
        <v>914</v>
      </c>
      <c r="B153" s="322"/>
      <c r="C153" s="6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455" t="s">
        <v>173</v>
      </c>
      <c r="B154" s="322"/>
      <c r="C154" s="69">
        <f>SUM(C152:N152)</f>
        <v>0</v>
      </c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42" t="s">
        <v>915</v>
      </c>
      <c r="B155" s="43" t="s">
        <v>916</v>
      </c>
      <c r="C155" s="452" t="s">
        <v>879</v>
      </c>
      <c r="D155" s="452" t="s">
        <v>880</v>
      </c>
      <c r="E155" s="452" t="s">
        <v>881</v>
      </c>
      <c r="F155" s="452" t="s">
        <v>882</v>
      </c>
      <c r="G155" s="452" t="s">
        <v>883</v>
      </c>
      <c r="H155" s="452" t="s">
        <v>884</v>
      </c>
      <c r="I155" s="452" t="s">
        <v>885</v>
      </c>
      <c r="J155" s="452" t="s">
        <v>886</v>
      </c>
      <c r="K155" s="452" t="s">
        <v>887</v>
      </c>
      <c r="L155" s="452" t="s">
        <v>888</v>
      </c>
      <c r="M155" s="452" t="s">
        <v>889</v>
      </c>
      <c r="N155" s="452" t="s">
        <v>890</v>
      </c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47" t="s">
        <v>891</v>
      </c>
      <c r="B156" s="48" t="s">
        <v>892</v>
      </c>
      <c r="C156" s="306"/>
      <c r="D156" s="306"/>
      <c r="E156" s="306"/>
      <c r="F156" s="306"/>
      <c r="G156" s="306"/>
      <c r="H156" s="306"/>
      <c r="I156" s="306"/>
      <c r="J156" s="306"/>
      <c r="K156" s="306"/>
      <c r="L156" s="306"/>
      <c r="M156" s="306"/>
      <c r="N156" s="306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78">
        <v>1201</v>
      </c>
      <c r="B157" s="77" t="s">
        <v>973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78">
        <v>1203</v>
      </c>
      <c r="B158" s="77" t="s">
        <v>974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78">
        <v>1204</v>
      </c>
      <c r="B159" s="77" t="s">
        <v>975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78">
        <v>1205</v>
      </c>
      <c r="B160" s="77" t="s">
        <v>976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78">
        <v>707</v>
      </c>
      <c r="B161" s="77" t="s">
        <v>977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52"/>
      <c r="B162" s="53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52"/>
      <c r="B163" s="53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58"/>
      <c r="B164" s="59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453" t="s">
        <v>911</v>
      </c>
      <c r="B165" s="322"/>
      <c r="C165" s="62">
        <f t="shared" ref="C165:N165" si="17">SUM(C157:C164)</f>
        <v>0</v>
      </c>
      <c r="D165" s="63">
        <f t="shared" si="17"/>
        <v>0</v>
      </c>
      <c r="E165" s="63">
        <f t="shared" si="17"/>
        <v>0</v>
      </c>
      <c r="F165" s="63">
        <f t="shared" si="17"/>
        <v>0</v>
      </c>
      <c r="G165" s="63">
        <f t="shared" si="17"/>
        <v>0</v>
      </c>
      <c r="H165" s="63">
        <f t="shared" si="17"/>
        <v>0</v>
      </c>
      <c r="I165" s="63">
        <f t="shared" si="17"/>
        <v>0</v>
      </c>
      <c r="J165" s="63">
        <f t="shared" si="17"/>
        <v>0</v>
      </c>
      <c r="K165" s="63">
        <f t="shared" si="17"/>
        <v>0</v>
      </c>
      <c r="L165" s="63">
        <f t="shared" si="17"/>
        <v>0</v>
      </c>
      <c r="M165" s="63">
        <f t="shared" si="17"/>
        <v>0</v>
      </c>
      <c r="N165" s="75">
        <f t="shared" si="17"/>
        <v>0</v>
      </c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454" t="s">
        <v>914</v>
      </c>
      <c r="B166" s="322"/>
      <c r="C166" s="6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456" t="s">
        <v>173</v>
      </c>
      <c r="B167" s="344"/>
      <c r="C167" s="79">
        <f>SUM(C165:N165)</f>
        <v>0</v>
      </c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33.75" customHeight="1">
      <c r="A168" s="457" t="s">
        <v>978</v>
      </c>
      <c r="B168" s="350"/>
      <c r="C168" s="350"/>
      <c r="D168" s="350"/>
      <c r="E168" s="350"/>
      <c r="F168" s="350"/>
      <c r="G168" s="350"/>
      <c r="H168" s="350"/>
      <c r="I168" s="350"/>
      <c r="J168" s="350"/>
      <c r="K168" s="350"/>
      <c r="L168" s="350"/>
      <c r="M168" s="350"/>
      <c r="N168" s="336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52.5" customHeight="1">
      <c r="A169" s="337"/>
      <c r="B169" s="351"/>
      <c r="C169" s="351"/>
      <c r="D169" s="351"/>
      <c r="E169" s="351"/>
      <c r="F169" s="351"/>
      <c r="G169" s="351"/>
      <c r="H169" s="351"/>
      <c r="I169" s="351"/>
      <c r="J169" s="351"/>
      <c r="K169" s="351"/>
      <c r="L169" s="351"/>
      <c r="M169" s="351"/>
      <c r="N169" s="338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42"/>
      <c r="B170" s="43"/>
      <c r="C170" s="452" t="s">
        <v>879</v>
      </c>
      <c r="D170" s="452" t="s">
        <v>880</v>
      </c>
      <c r="E170" s="452" t="s">
        <v>881</v>
      </c>
      <c r="F170" s="452" t="s">
        <v>882</v>
      </c>
      <c r="G170" s="452" t="s">
        <v>883</v>
      </c>
      <c r="H170" s="452" t="s">
        <v>884</v>
      </c>
      <c r="I170" s="452" t="s">
        <v>885</v>
      </c>
      <c r="J170" s="452" t="s">
        <v>886</v>
      </c>
      <c r="K170" s="452" t="s">
        <v>887</v>
      </c>
      <c r="L170" s="452" t="s">
        <v>888</v>
      </c>
      <c r="M170" s="452" t="s">
        <v>889</v>
      </c>
      <c r="N170" s="452" t="s">
        <v>890</v>
      </c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47" t="s">
        <v>891</v>
      </c>
      <c r="B171" s="48" t="s">
        <v>979</v>
      </c>
      <c r="C171" s="306"/>
      <c r="D171" s="306"/>
      <c r="E171" s="306"/>
      <c r="F171" s="306"/>
      <c r="G171" s="306"/>
      <c r="H171" s="306"/>
      <c r="I171" s="306"/>
      <c r="J171" s="306"/>
      <c r="K171" s="306"/>
      <c r="L171" s="306"/>
      <c r="M171" s="306"/>
      <c r="N171" s="306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52"/>
      <c r="B172" s="53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52"/>
      <c r="B173" s="53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52"/>
      <c r="B174" s="53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52"/>
      <c r="B175" s="53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52"/>
      <c r="B176" s="53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52"/>
      <c r="B177" s="53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52"/>
      <c r="B178" s="53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58"/>
      <c r="B179" s="59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453" t="s">
        <v>911</v>
      </c>
      <c r="B180" s="322"/>
      <c r="C180" s="62">
        <f t="shared" ref="C180:N180" si="18">SUM(C172:C179)</f>
        <v>0</v>
      </c>
      <c r="D180" s="63">
        <f t="shared" si="18"/>
        <v>0</v>
      </c>
      <c r="E180" s="63">
        <f t="shared" si="18"/>
        <v>0</v>
      </c>
      <c r="F180" s="63">
        <f t="shared" si="18"/>
        <v>0</v>
      </c>
      <c r="G180" s="63">
        <f t="shared" si="18"/>
        <v>0</v>
      </c>
      <c r="H180" s="63">
        <f t="shared" si="18"/>
        <v>0</v>
      </c>
      <c r="I180" s="63">
        <f t="shared" si="18"/>
        <v>0</v>
      </c>
      <c r="J180" s="63">
        <f t="shared" si="18"/>
        <v>0</v>
      </c>
      <c r="K180" s="63">
        <f t="shared" si="18"/>
        <v>0</v>
      </c>
      <c r="L180" s="63">
        <f t="shared" si="18"/>
        <v>0</v>
      </c>
      <c r="M180" s="63">
        <f t="shared" si="18"/>
        <v>0</v>
      </c>
      <c r="N180" s="75">
        <f t="shared" si="18"/>
        <v>0</v>
      </c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454" t="s">
        <v>914</v>
      </c>
      <c r="B181" s="322"/>
      <c r="C181" s="6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455" t="s">
        <v>173</v>
      </c>
      <c r="B182" s="322"/>
      <c r="C182" s="69">
        <f>SUM(C180:N180)</f>
        <v>0</v>
      </c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42"/>
      <c r="B183" s="43"/>
      <c r="C183" s="452" t="s">
        <v>879</v>
      </c>
      <c r="D183" s="452" t="s">
        <v>880</v>
      </c>
      <c r="E183" s="452" t="s">
        <v>881</v>
      </c>
      <c r="F183" s="452" t="s">
        <v>882</v>
      </c>
      <c r="G183" s="452" t="s">
        <v>883</v>
      </c>
      <c r="H183" s="452" t="s">
        <v>884</v>
      </c>
      <c r="I183" s="452" t="s">
        <v>885</v>
      </c>
      <c r="J183" s="452" t="s">
        <v>886</v>
      </c>
      <c r="K183" s="452" t="s">
        <v>887</v>
      </c>
      <c r="L183" s="452" t="s">
        <v>888</v>
      </c>
      <c r="M183" s="452" t="s">
        <v>889</v>
      </c>
      <c r="N183" s="452" t="s">
        <v>890</v>
      </c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47" t="s">
        <v>891</v>
      </c>
      <c r="B184" s="48" t="s">
        <v>979</v>
      </c>
      <c r="C184" s="306"/>
      <c r="D184" s="306"/>
      <c r="E184" s="306"/>
      <c r="F184" s="306"/>
      <c r="G184" s="306"/>
      <c r="H184" s="306"/>
      <c r="I184" s="306"/>
      <c r="J184" s="306"/>
      <c r="K184" s="306"/>
      <c r="L184" s="306"/>
      <c r="M184" s="306"/>
      <c r="N184" s="306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52"/>
      <c r="B185" s="53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52"/>
      <c r="B186" s="53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52"/>
      <c r="B187" s="53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52"/>
      <c r="B188" s="53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52"/>
      <c r="B189" s="53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52"/>
      <c r="B190" s="53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52"/>
      <c r="B191" s="53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58"/>
      <c r="B192" s="59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453" t="s">
        <v>911</v>
      </c>
      <c r="B193" s="322"/>
      <c r="C193" s="62">
        <f t="shared" ref="C193:N193" si="19">SUM(C185:C192)</f>
        <v>0</v>
      </c>
      <c r="D193" s="63">
        <f t="shared" si="19"/>
        <v>0</v>
      </c>
      <c r="E193" s="63">
        <f t="shared" si="19"/>
        <v>0</v>
      </c>
      <c r="F193" s="63">
        <f t="shared" si="19"/>
        <v>0</v>
      </c>
      <c r="G193" s="63">
        <f t="shared" si="19"/>
        <v>0</v>
      </c>
      <c r="H193" s="63">
        <f t="shared" si="19"/>
        <v>0</v>
      </c>
      <c r="I193" s="63">
        <f t="shared" si="19"/>
        <v>0</v>
      </c>
      <c r="J193" s="63">
        <f t="shared" si="19"/>
        <v>0</v>
      </c>
      <c r="K193" s="63">
        <f t="shared" si="19"/>
        <v>0</v>
      </c>
      <c r="L193" s="63">
        <f t="shared" si="19"/>
        <v>0</v>
      </c>
      <c r="M193" s="63">
        <f t="shared" si="19"/>
        <v>0</v>
      </c>
      <c r="N193" s="75">
        <f t="shared" si="19"/>
        <v>0</v>
      </c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454" t="s">
        <v>914</v>
      </c>
      <c r="B194" s="322"/>
      <c r="C194" s="6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455" t="s">
        <v>173</v>
      </c>
      <c r="B195" s="322"/>
      <c r="C195" s="69">
        <f>SUM(C193:N193)</f>
        <v>0</v>
      </c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42"/>
      <c r="B196" s="43"/>
      <c r="C196" s="452" t="s">
        <v>879</v>
      </c>
      <c r="D196" s="452" t="s">
        <v>880</v>
      </c>
      <c r="E196" s="452" t="s">
        <v>881</v>
      </c>
      <c r="F196" s="452" t="s">
        <v>882</v>
      </c>
      <c r="G196" s="452" t="s">
        <v>883</v>
      </c>
      <c r="H196" s="452" t="s">
        <v>884</v>
      </c>
      <c r="I196" s="452" t="s">
        <v>885</v>
      </c>
      <c r="J196" s="452" t="s">
        <v>886</v>
      </c>
      <c r="K196" s="452" t="s">
        <v>887</v>
      </c>
      <c r="L196" s="452" t="s">
        <v>888</v>
      </c>
      <c r="M196" s="452" t="s">
        <v>889</v>
      </c>
      <c r="N196" s="452" t="s">
        <v>890</v>
      </c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47" t="s">
        <v>891</v>
      </c>
      <c r="B197" s="48" t="s">
        <v>979</v>
      </c>
      <c r="C197" s="306"/>
      <c r="D197" s="306"/>
      <c r="E197" s="306"/>
      <c r="F197" s="306"/>
      <c r="G197" s="306"/>
      <c r="H197" s="306"/>
      <c r="I197" s="306"/>
      <c r="J197" s="306"/>
      <c r="K197" s="306"/>
      <c r="L197" s="306"/>
      <c r="M197" s="306"/>
      <c r="N197" s="306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52"/>
      <c r="B198" s="53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52"/>
      <c r="B199" s="53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52"/>
      <c r="B200" s="53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52"/>
      <c r="B201" s="53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52"/>
      <c r="B202" s="53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52"/>
      <c r="B203" s="53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52"/>
      <c r="B204" s="53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58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453" t="s">
        <v>911</v>
      </c>
      <c r="B206" s="322"/>
      <c r="C206" s="62">
        <f t="shared" ref="C206:N206" si="20">SUM(C198:C205)</f>
        <v>0</v>
      </c>
      <c r="D206" s="63">
        <f t="shared" si="20"/>
        <v>0</v>
      </c>
      <c r="E206" s="63">
        <f t="shared" si="20"/>
        <v>0</v>
      </c>
      <c r="F206" s="63">
        <f t="shared" si="20"/>
        <v>0</v>
      </c>
      <c r="G206" s="63">
        <f t="shared" si="20"/>
        <v>0</v>
      </c>
      <c r="H206" s="63">
        <f t="shared" si="20"/>
        <v>0</v>
      </c>
      <c r="I206" s="63">
        <f t="shared" si="20"/>
        <v>0</v>
      </c>
      <c r="J206" s="63">
        <f t="shared" si="20"/>
        <v>0</v>
      </c>
      <c r="K206" s="63">
        <f t="shared" si="20"/>
        <v>0</v>
      </c>
      <c r="L206" s="63">
        <f t="shared" si="20"/>
        <v>0</v>
      </c>
      <c r="M206" s="63">
        <f t="shared" si="20"/>
        <v>0</v>
      </c>
      <c r="N206" s="75">
        <f t="shared" si="20"/>
        <v>0</v>
      </c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454" t="s">
        <v>914</v>
      </c>
      <c r="B207" s="322"/>
      <c r="C207" s="6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455" t="s">
        <v>173</v>
      </c>
      <c r="B208" s="322"/>
      <c r="C208" s="69">
        <f>SUM(C206:N206)</f>
        <v>0</v>
      </c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42"/>
      <c r="B209" s="43"/>
      <c r="C209" s="452" t="s">
        <v>879</v>
      </c>
      <c r="D209" s="452" t="s">
        <v>880</v>
      </c>
      <c r="E209" s="452" t="s">
        <v>881</v>
      </c>
      <c r="F209" s="452" t="s">
        <v>882</v>
      </c>
      <c r="G209" s="452" t="s">
        <v>883</v>
      </c>
      <c r="H209" s="452" t="s">
        <v>884</v>
      </c>
      <c r="I209" s="452" t="s">
        <v>885</v>
      </c>
      <c r="J209" s="452" t="s">
        <v>886</v>
      </c>
      <c r="K209" s="452" t="s">
        <v>887</v>
      </c>
      <c r="L209" s="452" t="s">
        <v>888</v>
      </c>
      <c r="M209" s="452" t="s">
        <v>889</v>
      </c>
      <c r="N209" s="452" t="s">
        <v>890</v>
      </c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47" t="s">
        <v>891</v>
      </c>
      <c r="B210" s="48" t="s">
        <v>979</v>
      </c>
      <c r="C210" s="306"/>
      <c r="D210" s="306"/>
      <c r="E210" s="306"/>
      <c r="F210" s="306"/>
      <c r="G210" s="306"/>
      <c r="H210" s="306"/>
      <c r="I210" s="306"/>
      <c r="J210" s="306"/>
      <c r="K210" s="306"/>
      <c r="L210" s="306"/>
      <c r="M210" s="306"/>
      <c r="N210" s="306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52"/>
      <c r="B211" s="53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52"/>
      <c r="B212" s="53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52"/>
      <c r="B213" s="53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52"/>
      <c r="B214" s="53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52"/>
      <c r="B215" s="53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52"/>
      <c r="B216" s="53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52"/>
      <c r="B217" s="53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58"/>
      <c r="B218" s="59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453" t="s">
        <v>911</v>
      </c>
      <c r="B219" s="322"/>
      <c r="C219" s="62">
        <f t="shared" ref="C219:N219" si="21">SUM(C211:C218)</f>
        <v>0</v>
      </c>
      <c r="D219" s="63">
        <f t="shared" si="21"/>
        <v>0</v>
      </c>
      <c r="E219" s="63">
        <f t="shared" si="21"/>
        <v>0</v>
      </c>
      <c r="F219" s="63">
        <f t="shared" si="21"/>
        <v>0</v>
      </c>
      <c r="G219" s="63">
        <f t="shared" si="21"/>
        <v>0</v>
      </c>
      <c r="H219" s="63">
        <f t="shared" si="21"/>
        <v>0</v>
      </c>
      <c r="I219" s="63">
        <f t="shared" si="21"/>
        <v>0</v>
      </c>
      <c r="J219" s="63">
        <f t="shared" si="21"/>
        <v>0</v>
      </c>
      <c r="K219" s="63">
        <f t="shared" si="21"/>
        <v>0</v>
      </c>
      <c r="L219" s="63">
        <f t="shared" si="21"/>
        <v>0</v>
      </c>
      <c r="M219" s="63">
        <f t="shared" si="21"/>
        <v>0</v>
      </c>
      <c r="N219" s="75">
        <f t="shared" si="21"/>
        <v>0</v>
      </c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454" t="s">
        <v>914</v>
      </c>
      <c r="B220" s="322"/>
      <c r="C220" s="6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455" t="s">
        <v>173</v>
      </c>
      <c r="B221" s="322"/>
      <c r="C221" s="69">
        <f>SUM(C219:N219)</f>
        <v>0</v>
      </c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42"/>
      <c r="B222" s="43"/>
      <c r="C222" s="452" t="s">
        <v>879</v>
      </c>
      <c r="D222" s="452" t="s">
        <v>880</v>
      </c>
      <c r="E222" s="452" t="s">
        <v>881</v>
      </c>
      <c r="F222" s="452" t="s">
        <v>882</v>
      </c>
      <c r="G222" s="452" t="s">
        <v>883</v>
      </c>
      <c r="H222" s="452" t="s">
        <v>884</v>
      </c>
      <c r="I222" s="452" t="s">
        <v>885</v>
      </c>
      <c r="J222" s="452" t="s">
        <v>886</v>
      </c>
      <c r="K222" s="452" t="s">
        <v>887</v>
      </c>
      <c r="L222" s="452" t="s">
        <v>888</v>
      </c>
      <c r="M222" s="452" t="s">
        <v>889</v>
      </c>
      <c r="N222" s="452" t="s">
        <v>890</v>
      </c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47" t="s">
        <v>891</v>
      </c>
      <c r="B223" s="48" t="s">
        <v>979</v>
      </c>
      <c r="C223" s="306"/>
      <c r="D223" s="306"/>
      <c r="E223" s="306"/>
      <c r="F223" s="306"/>
      <c r="G223" s="306"/>
      <c r="H223" s="306"/>
      <c r="I223" s="306"/>
      <c r="J223" s="306"/>
      <c r="K223" s="306"/>
      <c r="L223" s="306"/>
      <c r="M223" s="306"/>
      <c r="N223" s="306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52"/>
      <c r="B224" s="53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52"/>
      <c r="B225" s="53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52"/>
      <c r="B226" s="53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52"/>
      <c r="B227" s="53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52"/>
      <c r="B228" s="53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52"/>
      <c r="B229" s="53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52"/>
      <c r="B230" s="53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58"/>
      <c r="B231" s="59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453" t="s">
        <v>911</v>
      </c>
      <c r="B232" s="322"/>
      <c r="C232" s="62">
        <f t="shared" ref="C232:N232" si="22">SUM(C224:C231)</f>
        <v>0</v>
      </c>
      <c r="D232" s="63">
        <f t="shared" si="22"/>
        <v>0</v>
      </c>
      <c r="E232" s="63">
        <f t="shared" si="22"/>
        <v>0</v>
      </c>
      <c r="F232" s="63">
        <f t="shared" si="22"/>
        <v>0</v>
      </c>
      <c r="G232" s="63">
        <f t="shared" si="22"/>
        <v>0</v>
      </c>
      <c r="H232" s="63">
        <f t="shared" si="22"/>
        <v>0</v>
      </c>
      <c r="I232" s="63">
        <f t="shared" si="22"/>
        <v>0</v>
      </c>
      <c r="J232" s="63">
        <f t="shared" si="22"/>
        <v>0</v>
      </c>
      <c r="K232" s="63">
        <f t="shared" si="22"/>
        <v>0</v>
      </c>
      <c r="L232" s="63">
        <f t="shared" si="22"/>
        <v>0</v>
      </c>
      <c r="M232" s="63">
        <f t="shared" si="22"/>
        <v>0</v>
      </c>
      <c r="N232" s="75">
        <f t="shared" si="22"/>
        <v>0</v>
      </c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454" t="s">
        <v>914</v>
      </c>
      <c r="B233" s="322"/>
      <c r="C233" s="6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455" t="s">
        <v>173</v>
      </c>
      <c r="B234" s="322"/>
      <c r="C234" s="69">
        <f>SUM(C232:N232)</f>
        <v>0</v>
      </c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42"/>
      <c r="B235" s="43"/>
      <c r="C235" s="452" t="s">
        <v>879</v>
      </c>
      <c r="D235" s="452" t="s">
        <v>880</v>
      </c>
      <c r="E235" s="452" t="s">
        <v>881</v>
      </c>
      <c r="F235" s="452" t="s">
        <v>882</v>
      </c>
      <c r="G235" s="452" t="s">
        <v>883</v>
      </c>
      <c r="H235" s="452" t="s">
        <v>884</v>
      </c>
      <c r="I235" s="452" t="s">
        <v>885</v>
      </c>
      <c r="J235" s="452" t="s">
        <v>886</v>
      </c>
      <c r="K235" s="452" t="s">
        <v>887</v>
      </c>
      <c r="L235" s="452" t="s">
        <v>888</v>
      </c>
      <c r="M235" s="452" t="s">
        <v>889</v>
      </c>
      <c r="N235" s="452" t="s">
        <v>890</v>
      </c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47" t="s">
        <v>891</v>
      </c>
      <c r="B236" s="48" t="s">
        <v>979</v>
      </c>
      <c r="C236" s="306"/>
      <c r="D236" s="306"/>
      <c r="E236" s="306"/>
      <c r="F236" s="306"/>
      <c r="G236" s="306"/>
      <c r="H236" s="306"/>
      <c r="I236" s="306"/>
      <c r="J236" s="306"/>
      <c r="K236" s="306"/>
      <c r="L236" s="306"/>
      <c r="M236" s="306"/>
      <c r="N236" s="306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52"/>
      <c r="B237" s="53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52"/>
      <c r="B238" s="53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52"/>
      <c r="B239" s="53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52"/>
      <c r="B240" s="53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52"/>
      <c r="B241" s="53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52"/>
      <c r="B242" s="53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52"/>
      <c r="B243" s="53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58"/>
      <c r="B244" s="59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453" t="s">
        <v>911</v>
      </c>
      <c r="B245" s="322"/>
      <c r="C245" s="62">
        <f t="shared" ref="C245:N245" si="23">SUM(C237:C244)</f>
        <v>0</v>
      </c>
      <c r="D245" s="63">
        <f t="shared" si="23"/>
        <v>0</v>
      </c>
      <c r="E245" s="63">
        <f t="shared" si="23"/>
        <v>0</v>
      </c>
      <c r="F245" s="63">
        <f t="shared" si="23"/>
        <v>0</v>
      </c>
      <c r="G245" s="63">
        <f t="shared" si="23"/>
        <v>0</v>
      </c>
      <c r="H245" s="63">
        <f t="shared" si="23"/>
        <v>0</v>
      </c>
      <c r="I245" s="63">
        <f t="shared" si="23"/>
        <v>0</v>
      </c>
      <c r="J245" s="63">
        <f t="shared" si="23"/>
        <v>0</v>
      </c>
      <c r="K245" s="63">
        <f t="shared" si="23"/>
        <v>0</v>
      </c>
      <c r="L245" s="63">
        <f t="shared" si="23"/>
        <v>0</v>
      </c>
      <c r="M245" s="63">
        <f t="shared" si="23"/>
        <v>0</v>
      </c>
      <c r="N245" s="75">
        <f t="shared" si="23"/>
        <v>0</v>
      </c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454" t="s">
        <v>914</v>
      </c>
      <c r="B246" s="322"/>
      <c r="C246" s="6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455" t="s">
        <v>173</v>
      </c>
      <c r="B247" s="322"/>
      <c r="C247" s="69">
        <f>SUM(C245:N245)</f>
        <v>0</v>
      </c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42"/>
      <c r="B248" s="43"/>
      <c r="C248" s="452" t="s">
        <v>879</v>
      </c>
      <c r="D248" s="452" t="s">
        <v>880</v>
      </c>
      <c r="E248" s="452" t="s">
        <v>881</v>
      </c>
      <c r="F248" s="452" t="s">
        <v>882</v>
      </c>
      <c r="G248" s="452" t="s">
        <v>883</v>
      </c>
      <c r="H248" s="452" t="s">
        <v>884</v>
      </c>
      <c r="I248" s="452" t="s">
        <v>885</v>
      </c>
      <c r="J248" s="452" t="s">
        <v>886</v>
      </c>
      <c r="K248" s="452" t="s">
        <v>887</v>
      </c>
      <c r="L248" s="452" t="s">
        <v>888</v>
      </c>
      <c r="M248" s="452" t="s">
        <v>889</v>
      </c>
      <c r="N248" s="452" t="s">
        <v>890</v>
      </c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47" t="s">
        <v>891</v>
      </c>
      <c r="B249" s="48" t="s">
        <v>979</v>
      </c>
      <c r="C249" s="306"/>
      <c r="D249" s="306"/>
      <c r="E249" s="306"/>
      <c r="F249" s="306"/>
      <c r="G249" s="306"/>
      <c r="H249" s="306"/>
      <c r="I249" s="306"/>
      <c r="J249" s="306"/>
      <c r="K249" s="306"/>
      <c r="L249" s="306"/>
      <c r="M249" s="306"/>
      <c r="N249" s="306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52"/>
      <c r="B250" s="53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52"/>
      <c r="B251" s="53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52"/>
      <c r="B252" s="53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52"/>
      <c r="B253" s="53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52"/>
      <c r="B254" s="53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52"/>
      <c r="B255" s="53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52"/>
      <c r="B256" s="53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58"/>
      <c r="B257" s="59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453" t="s">
        <v>911</v>
      </c>
      <c r="B258" s="322"/>
      <c r="C258" s="62">
        <f t="shared" ref="C258:N258" si="24">SUM(C250:C257)</f>
        <v>0</v>
      </c>
      <c r="D258" s="63">
        <f t="shared" si="24"/>
        <v>0</v>
      </c>
      <c r="E258" s="63">
        <f t="shared" si="24"/>
        <v>0</v>
      </c>
      <c r="F258" s="63">
        <f t="shared" si="24"/>
        <v>0</v>
      </c>
      <c r="G258" s="63">
        <f t="shared" si="24"/>
        <v>0</v>
      </c>
      <c r="H258" s="63">
        <f t="shared" si="24"/>
        <v>0</v>
      </c>
      <c r="I258" s="63">
        <f t="shared" si="24"/>
        <v>0</v>
      </c>
      <c r="J258" s="63">
        <f t="shared" si="24"/>
        <v>0</v>
      </c>
      <c r="K258" s="63">
        <f t="shared" si="24"/>
        <v>0</v>
      </c>
      <c r="L258" s="63">
        <f t="shared" si="24"/>
        <v>0</v>
      </c>
      <c r="M258" s="63">
        <f t="shared" si="24"/>
        <v>0</v>
      </c>
      <c r="N258" s="75">
        <f t="shared" si="24"/>
        <v>0</v>
      </c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454" t="s">
        <v>914</v>
      </c>
      <c r="B259" s="322"/>
      <c r="C259" s="6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455" t="s">
        <v>173</v>
      </c>
      <c r="B260" s="322"/>
      <c r="C260" s="69">
        <f>SUM(C258:N258)</f>
        <v>0</v>
      </c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42"/>
      <c r="B261" s="43"/>
      <c r="C261" s="452" t="s">
        <v>879</v>
      </c>
      <c r="D261" s="452" t="s">
        <v>880</v>
      </c>
      <c r="E261" s="452" t="s">
        <v>881</v>
      </c>
      <c r="F261" s="452" t="s">
        <v>882</v>
      </c>
      <c r="G261" s="452" t="s">
        <v>883</v>
      </c>
      <c r="H261" s="452" t="s">
        <v>884</v>
      </c>
      <c r="I261" s="452" t="s">
        <v>885</v>
      </c>
      <c r="J261" s="452" t="s">
        <v>886</v>
      </c>
      <c r="K261" s="452" t="s">
        <v>887</v>
      </c>
      <c r="L261" s="452" t="s">
        <v>888</v>
      </c>
      <c r="M261" s="452" t="s">
        <v>889</v>
      </c>
      <c r="N261" s="452" t="s">
        <v>890</v>
      </c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47" t="s">
        <v>891</v>
      </c>
      <c r="B262" s="48" t="s">
        <v>979</v>
      </c>
      <c r="C262" s="306"/>
      <c r="D262" s="306"/>
      <c r="E262" s="306"/>
      <c r="F262" s="306"/>
      <c r="G262" s="306"/>
      <c r="H262" s="306"/>
      <c r="I262" s="306"/>
      <c r="J262" s="306"/>
      <c r="K262" s="306"/>
      <c r="L262" s="306"/>
      <c r="M262" s="306"/>
      <c r="N262" s="306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52"/>
      <c r="B263" s="53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52"/>
      <c r="B264" s="53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52"/>
      <c r="B265" s="53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52"/>
      <c r="B266" s="53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52"/>
      <c r="B267" s="53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52"/>
      <c r="B268" s="53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52"/>
      <c r="B269" s="53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58"/>
      <c r="B270" s="59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453" t="s">
        <v>911</v>
      </c>
      <c r="B271" s="322"/>
      <c r="C271" s="62">
        <f t="shared" ref="C271:N271" si="25">SUM(C263:C270)</f>
        <v>0</v>
      </c>
      <c r="D271" s="63">
        <f t="shared" si="25"/>
        <v>0</v>
      </c>
      <c r="E271" s="63">
        <f t="shared" si="25"/>
        <v>0</v>
      </c>
      <c r="F271" s="63">
        <f t="shared" si="25"/>
        <v>0</v>
      </c>
      <c r="G271" s="63">
        <f t="shared" si="25"/>
        <v>0</v>
      </c>
      <c r="H271" s="63">
        <f t="shared" si="25"/>
        <v>0</v>
      </c>
      <c r="I271" s="63">
        <f t="shared" si="25"/>
        <v>0</v>
      </c>
      <c r="J271" s="63">
        <f t="shared" si="25"/>
        <v>0</v>
      </c>
      <c r="K271" s="63">
        <f t="shared" si="25"/>
        <v>0</v>
      </c>
      <c r="L271" s="63">
        <f t="shared" si="25"/>
        <v>0</v>
      </c>
      <c r="M271" s="63">
        <f t="shared" si="25"/>
        <v>0</v>
      </c>
      <c r="N271" s="75">
        <f t="shared" si="25"/>
        <v>0</v>
      </c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454" t="s">
        <v>914</v>
      </c>
      <c r="B272" s="322"/>
      <c r="C272" s="6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455" t="s">
        <v>173</v>
      </c>
      <c r="B273" s="322"/>
      <c r="C273" s="69">
        <f>SUM(C271:N271)</f>
        <v>0</v>
      </c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42"/>
      <c r="B274" s="43"/>
      <c r="C274" s="452" t="s">
        <v>879</v>
      </c>
      <c r="D274" s="452" t="s">
        <v>880</v>
      </c>
      <c r="E274" s="452" t="s">
        <v>881</v>
      </c>
      <c r="F274" s="452" t="s">
        <v>882</v>
      </c>
      <c r="G274" s="452" t="s">
        <v>883</v>
      </c>
      <c r="H274" s="452" t="s">
        <v>884</v>
      </c>
      <c r="I274" s="452" t="s">
        <v>885</v>
      </c>
      <c r="J274" s="452" t="s">
        <v>886</v>
      </c>
      <c r="K274" s="452" t="s">
        <v>887</v>
      </c>
      <c r="L274" s="452" t="s">
        <v>888</v>
      </c>
      <c r="M274" s="452" t="s">
        <v>889</v>
      </c>
      <c r="N274" s="452" t="s">
        <v>890</v>
      </c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47" t="s">
        <v>891</v>
      </c>
      <c r="B275" s="48" t="s">
        <v>979</v>
      </c>
      <c r="C275" s="306"/>
      <c r="D275" s="306"/>
      <c r="E275" s="306"/>
      <c r="F275" s="306"/>
      <c r="G275" s="306"/>
      <c r="H275" s="306"/>
      <c r="I275" s="306"/>
      <c r="J275" s="306"/>
      <c r="K275" s="306"/>
      <c r="L275" s="306"/>
      <c r="M275" s="306"/>
      <c r="N275" s="306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52"/>
      <c r="B276" s="53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52"/>
      <c r="B277" s="53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52"/>
      <c r="B278" s="53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52"/>
      <c r="B279" s="53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52"/>
      <c r="B280" s="53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52"/>
      <c r="B281" s="53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52"/>
      <c r="B282" s="53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58"/>
      <c r="B283" s="59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453" t="s">
        <v>911</v>
      </c>
      <c r="B284" s="322"/>
      <c r="C284" s="62">
        <f t="shared" ref="C284:N284" si="26">SUM(C276:C283)</f>
        <v>0</v>
      </c>
      <c r="D284" s="63">
        <f t="shared" si="26"/>
        <v>0</v>
      </c>
      <c r="E284" s="63">
        <f t="shared" si="26"/>
        <v>0</v>
      </c>
      <c r="F284" s="63">
        <f t="shared" si="26"/>
        <v>0</v>
      </c>
      <c r="G284" s="63">
        <f t="shared" si="26"/>
        <v>0</v>
      </c>
      <c r="H284" s="63">
        <f t="shared" si="26"/>
        <v>0</v>
      </c>
      <c r="I284" s="63">
        <f t="shared" si="26"/>
        <v>0</v>
      </c>
      <c r="J284" s="63">
        <f t="shared" si="26"/>
        <v>0</v>
      </c>
      <c r="K284" s="63">
        <f t="shared" si="26"/>
        <v>0</v>
      </c>
      <c r="L284" s="63">
        <f t="shared" si="26"/>
        <v>0</v>
      </c>
      <c r="M284" s="63">
        <f t="shared" si="26"/>
        <v>0</v>
      </c>
      <c r="N284" s="75">
        <f t="shared" si="26"/>
        <v>0</v>
      </c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454" t="s">
        <v>914</v>
      </c>
      <c r="B285" s="322"/>
      <c r="C285" s="6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455" t="s">
        <v>173</v>
      </c>
      <c r="B286" s="322"/>
      <c r="C286" s="69">
        <f>SUM(C284:N284)</f>
        <v>0</v>
      </c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25">
    <mergeCell ref="H3:H4"/>
    <mergeCell ref="I3:I4"/>
    <mergeCell ref="J3:J4"/>
    <mergeCell ref="K3:K4"/>
    <mergeCell ref="L3:L4"/>
    <mergeCell ref="M3:M4"/>
    <mergeCell ref="O15:P15"/>
    <mergeCell ref="A1:B2"/>
    <mergeCell ref="C1:N2"/>
    <mergeCell ref="P1:Q1"/>
    <mergeCell ref="P2:Q2"/>
    <mergeCell ref="C3:C4"/>
    <mergeCell ref="D3:D4"/>
    <mergeCell ref="E3:E4"/>
    <mergeCell ref="N3:N4"/>
    <mergeCell ref="F3:F4"/>
    <mergeCell ref="G3:G4"/>
    <mergeCell ref="A13:B13"/>
    <mergeCell ref="A14:B14"/>
    <mergeCell ref="M16:M17"/>
    <mergeCell ref="N16:N17"/>
    <mergeCell ref="O16:P16"/>
    <mergeCell ref="O17:P17"/>
    <mergeCell ref="O18:P18"/>
    <mergeCell ref="O31:P31"/>
    <mergeCell ref="E16:E17"/>
    <mergeCell ref="F16:F17"/>
    <mergeCell ref="H16:H17"/>
    <mergeCell ref="I16:I17"/>
    <mergeCell ref="J16:J17"/>
    <mergeCell ref="K16:K17"/>
    <mergeCell ref="L16:L17"/>
    <mergeCell ref="M33:M34"/>
    <mergeCell ref="N33:N34"/>
    <mergeCell ref="F33:F34"/>
    <mergeCell ref="G33:G34"/>
    <mergeCell ref="H33:H34"/>
    <mergeCell ref="I33:I34"/>
    <mergeCell ref="J33:J34"/>
    <mergeCell ref="K33:K34"/>
    <mergeCell ref="L33:L34"/>
    <mergeCell ref="G75:G76"/>
    <mergeCell ref="H75:H76"/>
    <mergeCell ref="I75:I76"/>
    <mergeCell ref="J75:J76"/>
    <mergeCell ref="K75:K76"/>
    <mergeCell ref="L75:L76"/>
    <mergeCell ref="M75:M76"/>
    <mergeCell ref="N75:N76"/>
    <mergeCell ref="A72:B72"/>
    <mergeCell ref="A73:B73"/>
    <mergeCell ref="A74:B74"/>
    <mergeCell ref="C75:C76"/>
    <mergeCell ref="D75:D76"/>
    <mergeCell ref="E75:E76"/>
    <mergeCell ref="F75:F76"/>
    <mergeCell ref="G88:G89"/>
    <mergeCell ref="H88:H89"/>
    <mergeCell ref="I88:I89"/>
    <mergeCell ref="J88:J89"/>
    <mergeCell ref="K88:K89"/>
    <mergeCell ref="L88:L89"/>
    <mergeCell ref="M88:M89"/>
    <mergeCell ref="N88:N89"/>
    <mergeCell ref="A85:B85"/>
    <mergeCell ref="A86:B86"/>
    <mergeCell ref="A87:B87"/>
    <mergeCell ref="C88:C89"/>
    <mergeCell ref="D88:D89"/>
    <mergeCell ref="E88:E89"/>
    <mergeCell ref="F88:F89"/>
    <mergeCell ref="G103:G104"/>
    <mergeCell ref="H103:H104"/>
    <mergeCell ref="I103:I104"/>
    <mergeCell ref="J103:J104"/>
    <mergeCell ref="K103:K104"/>
    <mergeCell ref="L103:L104"/>
    <mergeCell ref="M103:M104"/>
    <mergeCell ref="N103:N104"/>
    <mergeCell ref="A100:B100"/>
    <mergeCell ref="A101:B101"/>
    <mergeCell ref="A102:B102"/>
    <mergeCell ref="C103:C104"/>
    <mergeCell ref="D103:D104"/>
    <mergeCell ref="E103:E104"/>
    <mergeCell ref="F103:F104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A113:B113"/>
    <mergeCell ref="A114:B114"/>
    <mergeCell ref="A115:B115"/>
    <mergeCell ref="C116:C117"/>
    <mergeCell ref="D116:D117"/>
    <mergeCell ref="E116:E117"/>
    <mergeCell ref="F116:F117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A126:B126"/>
    <mergeCell ref="A127:B127"/>
    <mergeCell ref="A128:B128"/>
    <mergeCell ref="C129:C130"/>
    <mergeCell ref="D129:D130"/>
    <mergeCell ref="E129:E130"/>
    <mergeCell ref="F129:F130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39:B139"/>
    <mergeCell ref="A140:B140"/>
    <mergeCell ref="A141:B141"/>
    <mergeCell ref="C142:C143"/>
    <mergeCell ref="D142:D143"/>
    <mergeCell ref="E142:E143"/>
    <mergeCell ref="F142:F143"/>
    <mergeCell ref="C16:C17"/>
    <mergeCell ref="D16:D17"/>
    <mergeCell ref="G16:G17"/>
    <mergeCell ref="A15:B15"/>
    <mergeCell ref="A30:B30"/>
    <mergeCell ref="A31:B31"/>
    <mergeCell ref="A32:B32"/>
    <mergeCell ref="C33:C34"/>
    <mergeCell ref="D33:D34"/>
    <mergeCell ref="E33:E34"/>
    <mergeCell ref="G45:G46"/>
    <mergeCell ref="H45:H46"/>
    <mergeCell ref="I45:I46"/>
    <mergeCell ref="J45:J46"/>
    <mergeCell ref="K45:K46"/>
    <mergeCell ref="L45:L46"/>
    <mergeCell ref="M45:M46"/>
    <mergeCell ref="N45:N46"/>
    <mergeCell ref="A42:B42"/>
    <mergeCell ref="A43:B43"/>
    <mergeCell ref="A44:B44"/>
    <mergeCell ref="C45:C46"/>
    <mergeCell ref="D45:D46"/>
    <mergeCell ref="E45:E46"/>
    <mergeCell ref="F45:F46"/>
    <mergeCell ref="G58:G59"/>
    <mergeCell ref="H58:H59"/>
    <mergeCell ref="I58:I59"/>
    <mergeCell ref="J58:J59"/>
    <mergeCell ref="K58:K59"/>
    <mergeCell ref="L58:L59"/>
    <mergeCell ref="M58:M59"/>
    <mergeCell ref="N58:N59"/>
    <mergeCell ref="A55:B55"/>
    <mergeCell ref="A56:B56"/>
    <mergeCell ref="A57:B57"/>
    <mergeCell ref="C58:C59"/>
    <mergeCell ref="D58:D59"/>
    <mergeCell ref="E58:E59"/>
    <mergeCell ref="F58:F59"/>
    <mergeCell ref="A180:B180"/>
    <mergeCell ref="A181:B181"/>
    <mergeCell ref="C183:C184"/>
    <mergeCell ref="D183:D184"/>
    <mergeCell ref="G183:G184"/>
    <mergeCell ref="A182:B182"/>
    <mergeCell ref="A193:B193"/>
    <mergeCell ref="M196:M197"/>
    <mergeCell ref="N196:N197"/>
    <mergeCell ref="F196:F197"/>
    <mergeCell ref="G196:G197"/>
    <mergeCell ref="H196:H197"/>
    <mergeCell ref="I196:I197"/>
    <mergeCell ref="J196:J197"/>
    <mergeCell ref="K196:K197"/>
    <mergeCell ref="L196:L197"/>
    <mergeCell ref="A194:B194"/>
    <mergeCell ref="A195:B195"/>
    <mergeCell ref="C196:C197"/>
    <mergeCell ref="D196:D197"/>
    <mergeCell ref="E196:E197"/>
    <mergeCell ref="M183:M184"/>
    <mergeCell ref="N183:N184"/>
    <mergeCell ref="E183:E184"/>
    <mergeCell ref="J209:J210"/>
    <mergeCell ref="K209:K210"/>
    <mergeCell ref="L209:L210"/>
    <mergeCell ref="M209:M210"/>
    <mergeCell ref="N209:N210"/>
    <mergeCell ref="A206:B206"/>
    <mergeCell ref="A207:B207"/>
    <mergeCell ref="A208:B208"/>
    <mergeCell ref="C209:C210"/>
    <mergeCell ref="D209:D210"/>
    <mergeCell ref="E209:E210"/>
    <mergeCell ref="F209:F210"/>
    <mergeCell ref="A220:B220"/>
    <mergeCell ref="A221:B221"/>
    <mergeCell ref="C222:C223"/>
    <mergeCell ref="D222:D223"/>
    <mergeCell ref="E222:E223"/>
    <mergeCell ref="F222:F223"/>
    <mergeCell ref="G209:G210"/>
    <mergeCell ref="H209:H210"/>
    <mergeCell ref="I209:I210"/>
    <mergeCell ref="A284:B284"/>
    <mergeCell ref="A285:B285"/>
    <mergeCell ref="A286:B286"/>
    <mergeCell ref="G155:G156"/>
    <mergeCell ref="H155:H156"/>
    <mergeCell ref="I155:I156"/>
    <mergeCell ref="J155:J156"/>
    <mergeCell ref="K155:K156"/>
    <mergeCell ref="L155:L156"/>
    <mergeCell ref="H170:H171"/>
    <mergeCell ref="I170:I171"/>
    <mergeCell ref="J170:J171"/>
    <mergeCell ref="K170:K171"/>
    <mergeCell ref="L170:L171"/>
    <mergeCell ref="G235:G236"/>
    <mergeCell ref="H235:H236"/>
    <mergeCell ref="I235:I236"/>
    <mergeCell ref="J235:J236"/>
    <mergeCell ref="K235:K236"/>
    <mergeCell ref="L235:L236"/>
    <mergeCell ref="G248:G249"/>
    <mergeCell ref="H248:H249"/>
    <mergeCell ref="I248:I249"/>
    <mergeCell ref="J248:J249"/>
    <mergeCell ref="M155:M156"/>
    <mergeCell ref="N155:N156"/>
    <mergeCell ref="A152:B152"/>
    <mergeCell ref="A153:B153"/>
    <mergeCell ref="A154:B154"/>
    <mergeCell ref="C155:C156"/>
    <mergeCell ref="D155:D156"/>
    <mergeCell ref="E155:E156"/>
    <mergeCell ref="F155:F156"/>
    <mergeCell ref="M170:M171"/>
    <mergeCell ref="A165:B165"/>
    <mergeCell ref="A166:B166"/>
    <mergeCell ref="A167:B167"/>
    <mergeCell ref="A168:N169"/>
    <mergeCell ref="C170:C171"/>
    <mergeCell ref="D170:D171"/>
    <mergeCell ref="E170:E171"/>
    <mergeCell ref="N170:N171"/>
    <mergeCell ref="F170:F171"/>
    <mergeCell ref="G170:G171"/>
    <mergeCell ref="F183:F184"/>
    <mergeCell ref="H183:H184"/>
    <mergeCell ref="I183:I184"/>
    <mergeCell ref="J183:J184"/>
    <mergeCell ref="K183:K184"/>
    <mergeCell ref="L183:L184"/>
    <mergeCell ref="M235:M236"/>
    <mergeCell ref="N235:N236"/>
    <mergeCell ref="A232:B232"/>
    <mergeCell ref="A233:B233"/>
    <mergeCell ref="A234:B234"/>
    <mergeCell ref="C235:C236"/>
    <mergeCell ref="D235:D236"/>
    <mergeCell ref="E235:E236"/>
    <mergeCell ref="F235:F236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A219:B219"/>
    <mergeCell ref="K248:K249"/>
    <mergeCell ref="L248:L249"/>
    <mergeCell ref="M248:M249"/>
    <mergeCell ref="N248:N249"/>
    <mergeCell ref="A245:B245"/>
    <mergeCell ref="A246:B246"/>
    <mergeCell ref="A247:B247"/>
    <mergeCell ref="C248:C249"/>
    <mergeCell ref="D248:D249"/>
    <mergeCell ref="E248:E249"/>
    <mergeCell ref="F248:F249"/>
    <mergeCell ref="G261:G262"/>
    <mergeCell ref="H261:H262"/>
    <mergeCell ref="I261:I262"/>
    <mergeCell ref="J261:J262"/>
    <mergeCell ref="K261:K262"/>
    <mergeCell ref="L261:L262"/>
    <mergeCell ref="M261:M262"/>
    <mergeCell ref="N261:N262"/>
    <mergeCell ref="A258:B258"/>
    <mergeCell ref="A259:B259"/>
    <mergeCell ref="A260:B260"/>
    <mergeCell ref="C261:C262"/>
    <mergeCell ref="D261:D262"/>
    <mergeCell ref="E261:E262"/>
    <mergeCell ref="F261:F262"/>
    <mergeCell ref="G274:G275"/>
    <mergeCell ref="H274:H275"/>
    <mergeCell ref="I274:I275"/>
    <mergeCell ref="J274:J275"/>
    <mergeCell ref="K274:K275"/>
    <mergeCell ref="L274:L275"/>
    <mergeCell ref="M274:M275"/>
    <mergeCell ref="N274:N275"/>
    <mergeCell ref="A271:B271"/>
    <mergeCell ref="A272:B272"/>
    <mergeCell ref="A273:B273"/>
    <mergeCell ref="C274:C275"/>
    <mergeCell ref="D274:D275"/>
    <mergeCell ref="E274:E275"/>
    <mergeCell ref="F274:F275"/>
  </mergeCells>
  <conditionalFormatting sqref="C15">
    <cfRule type="cellIs" dxfId="43" priority="1" operator="greaterThan">
      <formula>$C$14</formula>
    </cfRule>
    <cfRule type="cellIs" dxfId="42" priority="2" operator="lessThanOrEqual">
      <formula>$C$14</formula>
    </cfRule>
  </conditionalFormatting>
  <conditionalFormatting sqref="C32">
    <cfRule type="cellIs" dxfId="41" priority="3" operator="greaterThan">
      <formula>$C$14</formula>
    </cfRule>
    <cfRule type="cellIs" dxfId="40" priority="4" operator="lessThanOrEqual">
      <formula>$C$14</formula>
    </cfRule>
  </conditionalFormatting>
  <conditionalFormatting sqref="C44">
    <cfRule type="cellIs" dxfId="39" priority="5" operator="greaterThan">
      <formula>$C$14</formula>
    </cfRule>
    <cfRule type="cellIs" dxfId="38" priority="6" operator="lessThanOrEqual">
      <formula>$C$14</formula>
    </cfRule>
  </conditionalFormatting>
  <conditionalFormatting sqref="C57">
    <cfRule type="cellIs" dxfId="37" priority="7" operator="greaterThan">
      <formula>$C$14</formula>
    </cfRule>
    <cfRule type="cellIs" dxfId="36" priority="8" operator="lessThanOrEqual">
      <formula>$C$14</formula>
    </cfRule>
  </conditionalFormatting>
  <conditionalFormatting sqref="C74">
    <cfRule type="cellIs" dxfId="35" priority="9" operator="greaterThan">
      <formula>$C$14</formula>
    </cfRule>
    <cfRule type="cellIs" dxfId="34" priority="10" operator="lessThanOrEqual">
      <formula>$C$14</formula>
    </cfRule>
  </conditionalFormatting>
  <conditionalFormatting sqref="C87">
    <cfRule type="cellIs" dxfId="33" priority="11" operator="greaterThan">
      <formula>$C$14</formula>
    </cfRule>
    <cfRule type="cellIs" dxfId="32" priority="12" operator="lessThanOrEqual">
      <formula>$C$14</formula>
    </cfRule>
  </conditionalFormatting>
  <conditionalFormatting sqref="C102">
    <cfRule type="cellIs" dxfId="31" priority="13" operator="greaterThan">
      <formula>$C$14</formula>
    </cfRule>
    <cfRule type="cellIs" dxfId="30" priority="14" operator="lessThanOrEqual">
      <formula>$C$14</formula>
    </cfRule>
  </conditionalFormatting>
  <conditionalFormatting sqref="C115">
    <cfRule type="cellIs" dxfId="29" priority="15" operator="greaterThan">
      <formula>$C$14</formula>
    </cfRule>
    <cfRule type="cellIs" dxfId="28" priority="16" operator="lessThanOrEqual">
      <formula>$C$14</formula>
    </cfRule>
  </conditionalFormatting>
  <conditionalFormatting sqref="C128">
    <cfRule type="cellIs" dxfId="27" priority="17" operator="greaterThan">
      <formula>$C$14</formula>
    </cfRule>
    <cfRule type="cellIs" dxfId="26" priority="18" operator="lessThanOrEqual">
      <formula>$C$14</formula>
    </cfRule>
  </conditionalFormatting>
  <conditionalFormatting sqref="C141">
    <cfRule type="cellIs" dxfId="25" priority="19" operator="greaterThan">
      <formula>$C$14</formula>
    </cfRule>
    <cfRule type="cellIs" dxfId="24" priority="20" operator="lessThanOrEqual">
      <formula>$C$14</formula>
    </cfRule>
  </conditionalFormatting>
  <conditionalFormatting sqref="C154">
    <cfRule type="cellIs" dxfId="23" priority="21" operator="greaterThan">
      <formula>$C$14</formula>
    </cfRule>
    <cfRule type="cellIs" dxfId="22" priority="22" operator="lessThanOrEqual">
      <formula>$C$14</formula>
    </cfRule>
  </conditionalFormatting>
  <conditionalFormatting sqref="C167">
    <cfRule type="cellIs" dxfId="21" priority="23" operator="greaterThan">
      <formula>$C$14</formula>
    </cfRule>
    <cfRule type="cellIs" dxfId="20" priority="24" operator="lessThanOrEqual">
      <formula>$C$14</formula>
    </cfRule>
  </conditionalFormatting>
  <conditionalFormatting sqref="C182">
    <cfRule type="cellIs" dxfId="19" priority="25" operator="greaterThan">
      <formula>$C$14</formula>
    </cfRule>
    <cfRule type="cellIs" dxfId="18" priority="26" operator="lessThanOrEqual">
      <formula>$C$14</formula>
    </cfRule>
  </conditionalFormatting>
  <conditionalFormatting sqref="C195">
    <cfRule type="cellIs" dxfId="17" priority="27" operator="greaterThan">
      <formula>$C$14</formula>
    </cfRule>
    <cfRule type="cellIs" dxfId="16" priority="28" operator="lessThanOrEqual">
      <formula>$C$14</formula>
    </cfRule>
  </conditionalFormatting>
  <conditionalFormatting sqref="C208">
    <cfRule type="cellIs" dxfId="15" priority="29" operator="greaterThan">
      <formula>$C$14</formula>
    </cfRule>
    <cfRule type="cellIs" dxfId="14" priority="30" operator="lessThanOrEqual">
      <formula>$C$14</formula>
    </cfRule>
  </conditionalFormatting>
  <conditionalFormatting sqref="C221">
    <cfRule type="cellIs" dxfId="13" priority="31" operator="greaterThan">
      <formula>$C$14</formula>
    </cfRule>
    <cfRule type="cellIs" dxfId="12" priority="32" operator="lessThanOrEqual">
      <formula>$C$14</formula>
    </cfRule>
  </conditionalFormatting>
  <conditionalFormatting sqref="C234">
    <cfRule type="cellIs" dxfId="11" priority="33" operator="greaterThan">
      <formula>$C$14</formula>
    </cfRule>
    <cfRule type="cellIs" dxfId="10" priority="34" operator="lessThanOrEqual">
      <formula>$C$14</formula>
    </cfRule>
  </conditionalFormatting>
  <conditionalFormatting sqref="C247">
    <cfRule type="cellIs" dxfId="9" priority="35" operator="greaterThan">
      <formula>$C$14</formula>
    </cfRule>
    <cfRule type="cellIs" dxfId="8" priority="36" operator="lessThanOrEqual">
      <formula>$C$14</formula>
    </cfRule>
  </conditionalFormatting>
  <conditionalFormatting sqref="C260">
    <cfRule type="cellIs" dxfId="7" priority="37" operator="greaterThan">
      <formula>$C$14</formula>
    </cfRule>
    <cfRule type="cellIs" dxfId="6" priority="38" operator="lessThanOrEqual">
      <formula>$C$14</formula>
    </cfRule>
  </conditionalFormatting>
  <conditionalFormatting sqref="C273">
    <cfRule type="cellIs" dxfId="5" priority="39" operator="greaterThan">
      <formula>$C$14</formula>
    </cfRule>
    <cfRule type="cellIs" dxfId="4" priority="40" operator="lessThanOrEqual">
      <formula>$C$14</formula>
    </cfRule>
  </conditionalFormatting>
  <conditionalFormatting sqref="C286">
    <cfRule type="cellIs" dxfId="3" priority="41" operator="greaterThan">
      <formula>$C$14</formula>
    </cfRule>
    <cfRule type="cellIs" dxfId="2" priority="42" operator="lessThanOrEqual">
      <formula>$C$14</formula>
    </cfRule>
  </conditionalFormatting>
  <conditionalFormatting sqref="Q17">
    <cfRule type="cellIs" dxfId="1" priority="43" operator="lessThanOrEqual">
      <formula>$Q$18</formula>
    </cfRule>
    <cfRule type="cellIs" dxfId="0" priority="44" operator="greaterThan">
      <formula>$Q$18</formula>
    </cfRule>
  </conditionalFormatting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tabColor rgb="FF385623"/>
  </sheetPr>
  <dimension ref="A1:J33"/>
  <sheetViews>
    <sheetView showGridLines="0" topLeftCell="E1" workbookViewId="0">
      <selection activeCell="H3" sqref="H3:J3"/>
    </sheetView>
  </sheetViews>
  <sheetFormatPr baseColWidth="10" defaultColWidth="11.125" defaultRowHeight="15" customHeight="1"/>
  <cols>
    <col min="1" max="1" width="21.625" style="109" customWidth="1"/>
    <col min="2" max="2" width="37.375" style="109" customWidth="1"/>
    <col min="3" max="3" width="33.125" style="109" customWidth="1"/>
    <col min="4" max="4" width="28.5" style="109" customWidth="1"/>
    <col min="5" max="5" width="36.5" style="109" customWidth="1"/>
    <col min="6" max="6" width="19" style="109" customWidth="1"/>
    <col min="7" max="7" width="26.5" style="109" customWidth="1"/>
    <col min="8" max="8" width="25.125" style="109" customWidth="1"/>
    <col min="9" max="9" width="22.875" style="109" customWidth="1"/>
    <col min="10" max="10" width="21.875" style="109" customWidth="1"/>
    <col min="11" max="16384" width="11.125" style="109"/>
  </cols>
  <sheetData>
    <row r="1" spans="1:10" ht="123.95" customHeigh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60.75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34.5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48" customHeight="1" thickBot="1">
      <c r="A4" s="129" t="s">
        <v>6</v>
      </c>
      <c r="B4" s="220" t="s">
        <v>137</v>
      </c>
      <c r="C4" s="213"/>
      <c r="D4" s="130" t="s">
        <v>8</v>
      </c>
      <c r="E4" s="131" t="s">
        <v>9</v>
      </c>
      <c r="F4" s="218" t="s">
        <v>10</v>
      </c>
      <c r="G4" s="219"/>
      <c r="H4" s="145">
        <v>15000000</v>
      </c>
      <c r="I4" s="133" t="s">
        <v>11</v>
      </c>
      <c r="J4" s="134">
        <v>14953960.220000001</v>
      </c>
    </row>
    <row r="5" spans="1:10" ht="39.75" customHeight="1">
      <c r="A5" s="270" t="s">
        <v>12</v>
      </c>
      <c r="B5" s="213"/>
      <c r="C5" s="271" t="s">
        <v>138</v>
      </c>
      <c r="D5" s="252"/>
      <c r="E5" s="213"/>
      <c r="F5" s="227" t="s">
        <v>14</v>
      </c>
      <c r="G5" s="228"/>
      <c r="H5" s="231" t="s">
        <v>139</v>
      </c>
      <c r="I5" s="233" t="s">
        <v>16</v>
      </c>
      <c r="J5" s="231" t="s">
        <v>17</v>
      </c>
    </row>
    <row r="6" spans="1:10" ht="60" customHeight="1">
      <c r="A6" s="131" t="s">
        <v>18</v>
      </c>
      <c r="B6" s="135" t="s">
        <v>19</v>
      </c>
      <c r="C6" s="136" t="s">
        <v>20</v>
      </c>
      <c r="D6" s="137" t="s">
        <v>21</v>
      </c>
      <c r="E6" s="136" t="s">
        <v>22</v>
      </c>
      <c r="F6" s="229"/>
      <c r="G6" s="230"/>
      <c r="H6" s="232"/>
      <c r="I6" s="232"/>
      <c r="J6" s="232"/>
    </row>
    <row r="7" spans="1:10" ht="110.1" customHeight="1">
      <c r="A7" s="277" t="s">
        <v>23</v>
      </c>
      <c r="B7" s="213"/>
      <c r="C7" s="272" t="s">
        <v>1064</v>
      </c>
      <c r="D7" s="252"/>
      <c r="E7" s="213"/>
      <c r="F7" s="273" t="s">
        <v>24</v>
      </c>
      <c r="G7" s="254"/>
      <c r="H7" s="255"/>
      <c r="I7" s="272" t="s">
        <v>25</v>
      </c>
      <c r="J7" s="213"/>
    </row>
    <row r="8" spans="1:10" ht="15.75" customHeight="1">
      <c r="A8" s="279" t="s">
        <v>26</v>
      </c>
      <c r="B8" s="280" t="s">
        <v>27</v>
      </c>
      <c r="C8" s="281" t="s">
        <v>28</v>
      </c>
      <c r="D8" s="252"/>
      <c r="E8" s="213"/>
      <c r="F8" s="282" t="s">
        <v>29</v>
      </c>
      <c r="G8" s="228"/>
      <c r="H8" s="275" t="s">
        <v>30</v>
      </c>
      <c r="I8" s="274" t="s">
        <v>31</v>
      </c>
      <c r="J8" s="275" t="s">
        <v>32</v>
      </c>
    </row>
    <row r="9" spans="1:10" ht="15.75" customHeight="1" thickBot="1">
      <c r="A9" s="232"/>
      <c r="B9" s="258"/>
      <c r="C9" s="138" t="s">
        <v>33</v>
      </c>
      <c r="D9" s="139" t="s">
        <v>34</v>
      </c>
      <c r="E9" s="140" t="s">
        <v>35</v>
      </c>
      <c r="F9" s="229"/>
      <c r="G9" s="230"/>
      <c r="H9" s="232"/>
      <c r="I9" s="249"/>
      <c r="J9" s="232"/>
    </row>
    <row r="10" spans="1:10" ht="93.95" customHeight="1" thickBot="1">
      <c r="A10" s="278" t="s">
        <v>36</v>
      </c>
      <c r="B10" s="168" t="s">
        <v>579</v>
      </c>
      <c r="C10" s="176" t="s">
        <v>580</v>
      </c>
      <c r="D10" s="168" t="s">
        <v>1035</v>
      </c>
      <c r="E10" s="168" t="s">
        <v>40</v>
      </c>
      <c r="F10" s="91" t="s">
        <v>1036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28.5" customHeight="1" thickBot="1">
      <c r="A11" s="235"/>
      <c r="B11" s="169"/>
      <c r="C11" s="177"/>
      <c r="D11" s="169"/>
      <c r="E11" s="169"/>
      <c r="F11" s="173" t="s">
        <v>45</v>
      </c>
      <c r="G11" s="174"/>
      <c r="H11" s="169"/>
      <c r="I11" s="169"/>
      <c r="J11" s="169"/>
    </row>
    <row r="12" spans="1:10" ht="98.1" customHeight="1" thickBot="1">
      <c r="A12" s="232"/>
      <c r="B12" s="170"/>
      <c r="C12" s="178"/>
      <c r="D12" s="170"/>
      <c r="E12" s="170"/>
      <c r="F12" s="105" t="s">
        <v>1039</v>
      </c>
      <c r="G12" s="92" t="s">
        <v>1038</v>
      </c>
      <c r="H12" s="170"/>
      <c r="I12" s="170"/>
      <c r="J12" s="170"/>
    </row>
    <row r="13" spans="1:10" ht="54" customHeight="1" thickBot="1">
      <c r="A13" s="279" t="s">
        <v>47</v>
      </c>
      <c r="B13" s="234" t="s">
        <v>48</v>
      </c>
      <c r="C13" s="276" t="s">
        <v>49</v>
      </c>
      <c r="D13" s="234" t="s">
        <v>50</v>
      </c>
      <c r="E13" s="234" t="s">
        <v>40</v>
      </c>
      <c r="F13" s="94">
        <v>60</v>
      </c>
      <c r="G13" s="123" t="s">
        <v>51</v>
      </c>
      <c r="H13" s="234" t="s">
        <v>52</v>
      </c>
      <c r="I13" s="234" t="s">
        <v>53</v>
      </c>
      <c r="J13" s="234" t="s">
        <v>54</v>
      </c>
    </row>
    <row r="14" spans="1:10" ht="19.5" customHeight="1" thickBot="1">
      <c r="A14" s="235"/>
      <c r="B14" s="235"/>
      <c r="C14" s="241"/>
      <c r="D14" s="235"/>
      <c r="E14" s="235"/>
      <c r="F14" s="237" t="s">
        <v>45</v>
      </c>
      <c r="G14" s="238"/>
      <c r="H14" s="235"/>
      <c r="I14" s="235"/>
      <c r="J14" s="235"/>
    </row>
    <row r="15" spans="1:10" ht="54.75" customHeight="1" thickBot="1">
      <c r="A15" s="232"/>
      <c r="B15" s="232"/>
      <c r="C15" s="242"/>
      <c r="D15" s="232"/>
      <c r="E15" s="232"/>
      <c r="F15" s="150">
        <v>75</v>
      </c>
      <c r="G15" s="124" t="s">
        <v>55</v>
      </c>
      <c r="H15" s="232"/>
      <c r="I15" s="232"/>
      <c r="J15" s="232"/>
    </row>
    <row r="16" spans="1:10" ht="42" customHeight="1" thickBot="1">
      <c r="A16" s="283" t="s">
        <v>56</v>
      </c>
      <c r="B16" s="231" t="s">
        <v>140</v>
      </c>
      <c r="C16" s="231" t="s">
        <v>141</v>
      </c>
      <c r="D16" s="234" t="s">
        <v>59</v>
      </c>
      <c r="E16" s="231" t="s">
        <v>117</v>
      </c>
      <c r="F16" s="94">
        <v>100</v>
      </c>
      <c r="G16" s="125" t="s">
        <v>60</v>
      </c>
      <c r="H16" s="234" t="s">
        <v>142</v>
      </c>
      <c r="I16" s="234" t="s">
        <v>124</v>
      </c>
      <c r="J16" s="234" t="s">
        <v>143</v>
      </c>
    </row>
    <row r="17" spans="1:10" ht="21" customHeight="1">
      <c r="A17" s="284"/>
      <c r="B17" s="235"/>
      <c r="C17" s="235"/>
      <c r="D17" s="235"/>
      <c r="E17" s="235"/>
      <c r="F17" s="237" t="s">
        <v>45</v>
      </c>
      <c r="G17" s="238"/>
      <c r="H17" s="235"/>
      <c r="I17" s="235"/>
      <c r="J17" s="235"/>
    </row>
    <row r="18" spans="1:10" ht="47.25" customHeight="1">
      <c r="A18" s="284"/>
      <c r="B18" s="232"/>
      <c r="C18" s="232"/>
      <c r="D18" s="232"/>
      <c r="E18" s="232"/>
      <c r="F18" s="126">
        <v>105</v>
      </c>
      <c r="G18" s="127" t="s">
        <v>64</v>
      </c>
      <c r="H18" s="232"/>
      <c r="I18" s="232"/>
      <c r="J18" s="232"/>
    </row>
    <row r="19" spans="1:10" ht="45" customHeight="1">
      <c r="A19" s="284"/>
      <c r="B19" s="231" t="s">
        <v>144</v>
      </c>
      <c r="C19" s="231" t="s">
        <v>145</v>
      </c>
      <c r="D19" s="234" t="s">
        <v>59</v>
      </c>
      <c r="E19" s="231" t="s">
        <v>40</v>
      </c>
      <c r="F19" s="94">
        <v>100</v>
      </c>
      <c r="G19" s="125" t="s">
        <v>60</v>
      </c>
      <c r="H19" s="234" t="s">
        <v>146</v>
      </c>
      <c r="I19" s="234" t="s">
        <v>124</v>
      </c>
      <c r="J19" s="234" t="s">
        <v>147</v>
      </c>
    </row>
    <row r="20" spans="1:10" ht="22.5" customHeight="1">
      <c r="A20" s="284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49.5" customHeight="1">
      <c r="A21" s="284"/>
      <c r="B21" s="232"/>
      <c r="C21" s="232"/>
      <c r="D21" s="232"/>
      <c r="E21" s="232"/>
      <c r="F21" s="126">
        <v>100</v>
      </c>
      <c r="G21" s="127" t="s">
        <v>64</v>
      </c>
      <c r="H21" s="232"/>
      <c r="I21" s="232"/>
      <c r="J21" s="232"/>
    </row>
    <row r="22" spans="1:10" ht="39.75" customHeight="1">
      <c r="A22" s="284"/>
      <c r="B22" s="231" t="s">
        <v>148</v>
      </c>
      <c r="C22" s="231" t="s">
        <v>149</v>
      </c>
      <c r="D22" s="234" t="s">
        <v>59</v>
      </c>
      <c r="E22" s="231" t="s">
        <v>40</v>
      </c>
      <c r="F22" s="94">
        <v>100</v>
      </c>
      <c r="G22" s="125" t="s">
        <v>60</v>
      </c>
      <c r="H22" s="234" t="s">
        <v>150</v>
      </c>
      <c r="I22" s="234" t="s">
        <v>124</v>
      </c>
      <c r="J22" s="234" t="s">
        <v>151</v>
      </c>
    </row>
    <row r="23" spans="1:10" ht="30" customHeight="1">
      <c r="A23" s="284"/>
      <c r="B23" s="235"/>
      <c r="C23" s="235"/>
      <c r="D23" s="235"/>
      <c r="E23" s="235"/>
      <c r="F23" s="237" t="s">
        <v>45</v>
      </c>
      <c r="G23" s="238"/>
      <c r="H23" s="235"/>
      <c r="I23" s="235"/>
      <c r="J23" s="235"/>
    </row>
    <row r="24" spans="1:10" ht="65.099999999999994" customHeight="1">
      <c r="A24" s="285"/>
      <c r="B24" s="232"/>
      <c r="C24" s="232"/>
      <c r="D24" s="232"/>
      <c r="E24" s="232"/>
      <c r="F24" s="126">
        <v>107</v>
      </c>
      <c r="G24" s="127" t="s">
        <v>64</v>
      </c>
      <c r="H24" s="232"/>
      <c r="I24" s="232"/>
      <c r="J24" s="232"/>
    </row>
    <row r="25" spans="1:10" ht="15.75" customHeight="1">
      <c r="A25" s="278" t="s">
        <v>80</v>
      </c>
      <c r="B25" s="231" t="s">
        <v>152</v>
      </c>
      <c r="C25" s="231" t="s">
        <v>153</v>
      </c>
      <c r="D25" s="234" t="s">
        <v>59</v>
      </c>
      <c r="E25" s="231" t="s">
        <v>40</v>
      </c>
      <c r="F25" s="146">
        <v>1200</v>
      </c>
      <c r="G25" s="142" t="s">
        <v>154</v>
      </c>
      <c r="H25" s="231" t="s">
        <v>155</v>
      </c>
      <c r="I25" s="234" t="s">
        <v>59</v>
      </c>
      <c r="J25" s="234" t="s">
        <v>147</v>
      </c>
    </row>
    <row r="26" spans="1:10" ht="15.75" customHeight="1">
      <c r="A26" s="235"/>
      <c r="B26" s="235"/>
      <c r="C26" s="235"/>
      <c r="D26" s="235"/>
      <c r="E26" s="235"/>
      <c r="F26" s="286" t="s">
        <v>45</v>
      </c>
      <c r="G26" s="238"/>
      <c r="H26" s="235"/>
      <c r="I26" s="235"/>
      <c r="J26" s="235"/>
    </row>
    <row r="27" spans="1:10" ht="49.5" customHeight="1">
      <c r="A27" s="235"/>
      <c r="B27" s="232"/>
      <c r="C27" s="232"/>
      <c r="D27" s="232"/>
      <c r="E27" s="232"/>
      <c r="F27" s="143">
        <v>1432</v>
      </c>
      <c r="G27" s="142" t="s">
        <v>45</v>
      </c>
      <c r="H27" s="232"/>
      <c r="I27" s="232"/>
      <c r="J27" s="232"/>
    </row>
    <row r="28" spans="1:10" ht="36" customHeight="1">
      <c r="A28" s="235"/>
      <c r="B28" s="231" t="s">
        <v>156</v>
      </c>
      <c r="C28" s="231" t="s">
        <v>157</v>
      </c>
      <c r="D28" s="234" t="s">
        <v>59</v>
      </c>
      <c r="E28" s="231" t="s">
        <v>40</v>
      </c>
      <c r="F28" s="146">
        <v>12000</v>
      </c>
      <c r="G28" s="142" t="s">
        <v>158</v>
      </c>
      <c r="H28" s="231" t="s">
        <v>159</v>
      </c>
      <c r="I28" s="234" t="s">
        <v>59</v>
      </c>
      <c r="J28" s="234" t="s">
        <v>147</v>
      </c>
    </row>
    <row r="29" spans="1:10" ht="30" customHeight="1">
      <c r="A29" s="235"/>
      <c r="B29" s="235"/>
      <c r="C29" s="235"/>
      <c r="D29" s="235"/>
      <c r="E29" s="235"/>
      <c r="F29" s="286" t="s">
        <v>45</v>
      </c>
      <c r="G29" s="238"/>
      <c r="H29" s="235"/>
      <c r="I29" s="235"/>
      <c r="J29" s="235"/>
    </row>
    <row r="30" spans="1:10" ht="55.5" customHeight="1">
      <c r="A30" s="235"/>
      <c r="B30" s="232"/>
      <c r="C30" s="232"/>
      <c r="D30" s="232"/>
      <c r="E30" s="232"/>
      <c r="F30" s="143">
        <v>13416</v>
      </c>
      <c r="G30" s="142" t="s">
        <v>45</v>
      </c>
      <c r="H30" s="232"/>
      <c r="I30" s="232"/>
      <c r="J30" s="232"/>
    </row>
    <row r="31" spans="1:10" ht="39.75" customHeight="1">
      <c r="A31" s="235"/>
      <c r="B31" s="231" t="s">
        <v>160</v>
      </c>
      <c r="C31" s="231" t="s">
        <v>161</v>
      </c>
      <c r="D31" s="234" t="s">
        <v>59</v>
      </c>
      <c r="E31" s="231" t="s">
        <v>40</v>
      </c>
      <c r="F31" s="146">
        <v>1100</v>
      </c>
      <c r="G31" s="147" t="s">
        <v>162</v>
      </c>
      <c r="H31" s="231" t="s">
        <v>163</v>
      </c>
      <c r="I31" s="234" t="s">
        <v>59</v>
      </c>
      <c r="J31" s="231" t="s">
        <v>164</v>
      </c>
    </row>
    <row r="32" spans="1:10" ht="40.5" customHeight="1">
      <c r="A32" s="235"/>
      <c r="B32" s="235"/>
      <c r="C32" s="235"/>
      <c r="D32" s="235"/>
      <c r="E32" s="235"/>
      <c r="F32" s="286" t="s">
        <v>45</v>
      </c>
      <c r="G32" s="238"/>
      <c r="H32" s="235"/>
      <c r="I32" s="235"/>
      <c r="J32" s="235"/>
    </row>
    <row r="33" spans="1:10" ht="42" customHeight="1">
      <c r="A33" s="232"/>
      <c r="B33" s="232"/>
      <c r="C33" s="232"/>
      <c r="D33" s="232"/>
      <c r="E33" s="232"/>
      <c r="F33" s="143">
        <v>1245</v>
      </c>
      <c r="G33" s="147" t="s">
        <v>45</v>
      </c>
      <c r="H33" s="232"/>
      <c r="I33" s="232"/>
      <c r="J33" s="232"/>
    </row>
  </sheetData>
  <mergeCells count="94">
    <mergeCell ref="H31:H33"/>
    <mergeCell ref="I31:I33"/>
    <mergeCell ref="J31:J33"/>
    <mergeCell ref="F32:G32"/>
    <mergeCell ref="A13:A15"/>
    <mergeCell ref="B13:B15"/>
    <mergeCell ref="I13:I15"/>
    <mergeCell ref="J13:J15"/>
    <mergeCell ref="D19:D21"/>
    <mergeCell ref="E19:E21"/>
    <mergeCell ref="H19:H21"/>
    <mergeCell ref="I19:I21"/>
    <mergeCell ref="F20:G20"/>
    <mergeCell ref="J19:J21"/>
    <mergeCell ref="I16:I18"/>
    <mergeCell ref="J16:J18"/>
    <mergeCell ref="I22:I24"/>
    <mergeCell ref="F23:G23"/>
    <mergeCell ref="J22:J24"/>
    <mergeCell ref="E25:E27"/>
    <mergeCell ref="E28:E30"/>
    <mergeCell ref="I28:I30"/>
    <mergeCell ref="J28:J30"/>
    <mergeCell ref="I25:I27"/>
    <mergeCell ref="J25:J27"/>
    <mergeCell ref="F26:G26"/>
    <mergeCell ref="F29:G29"/>
    <mergeCell ref="H22:H24"/>
    <mergeCell ref="H28:H30"/>
    <mergeCell ref="H25:H27"/>
    <mergeCell ref="F8:G9"/>
    <mergeCell ref="E31:E33"/>
    <mergeCell ref="C25:C27"/>
    <mergeCell ref="C28:C30"/>
    <mergeCell ref="A25:A33"/>
    <mergeCell ref="D25:D27"/>
    <mergeCell ref="D28:D30"/>
    <mergeCell ref="C31:C33"/>
    <mergeCell ref="D31:D33"/>
    <mergeCell ref="B31:B33"/>
    <mergeCell ref="A16:A24"/>
    <mergeCell ref="F17:G17"/>
    <mergeCell ref="B25:B27"/>
    <mergeCell ref="B28:B30"/>
    <mergeCell ref="E16:E18"/>
    <mergeCell ref="E22:E24"/>
    <mergeCell ref="A7:B7"/>
    <mergeCell ref="A10:A12"/>
    <mergeCell ref="B10:B12"/>
    <mergeCell ref="C10:C12"/>
    <mergeCell ref="D10:D12"/>
    <mergeCell ref="C7:E7"/>
    <mergeCell ref="E10:E12"/>
    <mergeCell ref="A8:A9"/>
    <mergeCell ref="B8:B9"/>
    <mergeCell ref="C8:E8"/>
    <mergeCell ref="C22:C24"/>
    <mergeCell ref="D22:D24"/>
    <mergeCell ref="C16:C18"/>
    <mergeCell ref="D16:D18"/>
    <mergeCell ref="H16:H18"/>
    <mergeCell ref="I8:I9"/>
    <mergeCell ref="J8:J9"/>
    <mergeCell ref="B16:B18"/>
    <mergeCell ref="B22:B24"/>
    <mergeCell ref="B19:B21"/>
    <mergeCell ref="C19:C21"/>
    <mergeCell ref="H13:H15"/>
    <mergeCell ref="F14:G14"/>
    <mergeCell ref="E13:E15"/>
    <mergeCell ref="C13:C15"/>
    <mergeCell ref="D13:D15"/>
    <mergeCell ref="H8:H9"/>
    <mergeCell ref="H10:H12"/>
    <mergeCell ref="I10:I12"/>
    <mergeCell ref="J10:J12"/>
    <mergeCell ref="F11:G11"/>
    <mergeCell ref="I1:J1"/>
    <mergeCell ref="I2:J2"/>
    <mergeCell ref="H3:J3"/>
    <mergeCell ref="F4:G4"/>
    <mergeCell ref="I7:J7"/>
    <mergeCell ref="F7:H7"/>
    <mergeCell ref="F5:G6"/>
    <mergeCell ref="H5:H6"/>
    <mergeCell ref="I5:I6"/>
    <mergeCell ref="J5:J6"/>
    <mergeCell ref="B4:C4"/>
    <mergeCell ref="A5:B5"/>
    <mergeCell ref="C5:E5"/>
    <mergeCell ref="A1:B2"/>
    <mergeCell ref="C1:G2"/>
    <mergeCell ref="A3:D3"/>
    <mergeCell ref="E3:G3"/>
  </mergeCells>
  <conditionalFormatting sqref="F18 F21 F24">
    <cfRule type="cellIs" dxfId="364" priority="5" operator="lessThan">
      <formula>80</formula>
    </cfRule>
    <cfRule type="cellIs" dxfId="363" priority="6" operator="greaterThanOrEqual">
      <formula>80</formula>
    </cfRule>
  </conditionalFormatting>
  <conditionalFormatting sqref="F18 F21">
    <cfRule type="cellIs" dxfId="362" priority="17" operator="lessThan">
      <formula>$F$16</formula>
    </cfRule>
    <cfRule type="cellIs" dxfId="361" priority="18" operator="greaterThanOrEqual">
      <formula>$F$16</formula>
    </cfRule>
  </conditionalFormatting>
  <conditionalFormatting sqref="F24">
    <cfRule type="cellIs" dxfId="360" priority="19" operator="lessThan">
      <formula>$F$16</formula>
    </cfRule>
    <cfRule type="cellIs" dxfId="359" priority="20" operator="greaterThanOrEqual">
      <formula>$F$16</formula>
    </cfRule>
  </conditionalFormatting>
  <conditionalFormatting sqref="F27">
    <cfRule type="cellIs" dxfId="358" priority="21" operator="lessThan">
      <formula>$F$16</formula>
    </cfRule>
    <cfRule type="cellIs" dxfId="357" priority="22" operator="greaterThanOrEqual">
      <formula>$F$16</formula>
    </cfRule>
  </conditionalFormatting>
  <conditionalFormatting sqref="F30">
    <cfRule type="cellIs" dxfId="356" priority="23" operator="lessThan">
      <formula>$F$16</formula>
    </cfRule>
    <cfRule type="cellIs" dxfId="355" priority="24" operator="greaterThanOrEqual">
      <formula>$F$16</formula>
    </cfRule>
  </conditionalFormatting>
  <conditionalFormatting sqref="F33">
    <cfRule type="cellIs" dxfId="354" priority="25" operator="lessThan">
      <formula>$F$16</formula>
    </cfRule>
    <cfRule type="cellIs" dxfId="353" priority="26" operator="greaterThanOrEqual">
      <formula>$F$16</formula>
    </cfRule>
  </conditionalFormatting>
  <conditionalFormatting sqref="J4">
    <cfRule type="cellIs" dxfId="352" priority="11" operator="lessThan">
      <formula>$H$4</formula>
    </cfRule>
    <cfRule type="cellIs" dxfId="351" priority="12" operator="greaterThan">
      <formula>$H$4</formula>
    </cfRule>
  </conditionalFormatting>
  <pageMargins left="0.7" right="0.7" top="0.75" bottom="0.75" header="0" footer="0"/>
  <pageSetup scale="3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385623"/>
  </sheetPr>
  <dimension ref="A1:J27"/>
  <sheetViews>
    <sheetView showGridLines="0" topLeftCell="D1" workbookViewId="0">
      <selection activeCell="H3" sqref="H3:J3"/>
    </sheetView>
  </sheetViews>
  <sheetFormatPr baseColWidth="10" defaultColWidth="11.125" defaultRowHeight="15" customHeight="1"/>
  <cols>
    <col min="1" max="1" width="33.875" style="109" customWidth="1"/>
    <col min="2" max="2" width="28.125" style="109" customWidth="1"/>
    <col min="3" max="3" width="25.875" style="109" customWidth="1"/>
    <col min="4" max="4" width="26" style="109" customWidth="1"/>
    <col min="5" max="5" width="36.125" style="109" customWidth="1"/>
    <col min="6" max="6" width="13.625" style="109" customWidth="1"/>
    <col min="7" max="7" width="18" style="109" customWidth="1"/>
    <col min="8" max="8" width="20.875" style="109" customWidth="1"/>
    <col min="9" max="9" width="21.125" style="109" customWidth="1"/>
    <col min="10" max="10" width="28.625" style="109" customWidth="1"/>
    <col min="11" max="16384" width="11.125" style="109"/>
  </cols>
  <sheetData>
    <row r="1" spans="1:10" ht="118.5" customHeigh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6.5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28.5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28.5" customHeight="1" thickBot="1">
      <c r="A4" s="129" t="s">
        <v>6</v>
      </c>
      <c r="B4" s="220" t="s">
        <v>108</v>
      </c>
      <c r="C4" s="213"/>
      <c r="D4" s="130" t="s">
        <v>8</v>
      </c>
      <c r="E4" s="131" t="s">
        <v>9</v>
      </c>
      <c r="F4" s="218" t="s">
        <v>10</v>
      </c>
      <c r="G4" s="219"/>
      <c r="H4" s="132">
        <v>6200000</v>
      </c>
      <c r="I4" s="133" t="s">
        <v>11</v>
      </c>
      <c r="J4" s="134">
        <v>6001086.7599999998</v>
      </c>
    </row>
    <row r="5" spans="1:10" ht="28.5" customHeight="1">
      <c r="A5" s="270" t="s">
        <v>12</v>
      </c>
      <c r="B5" s="213"/>
      <c r="C5" s="271" t="s">
        <v>109</v>
      </c>
      <c r="D5" s="252"/>
      <c r="E5" s="213"/>
      <c r="F5" s="227" t="s">
        <v>14</v>
      </c>
      <c r="G5" s="228"/>
      <c r="H5" s="231" t="s">
        <v>110</v>
      </c>
      <c r="I5" s="233" t="s">
        <v>16</v>
      </c>
      <c r="J5" s="231" t="s">
        <v>111</v>
      </c>
    </row>
    <row r="6" spans="1:10" ht="69" customHeight="1" thickBot="1">
      <c r="A6" s="131" t="s">
        <v>18</v>
      </c>
      <c r="B6" s="135" t="s">
        <v>19</v>
      </c>
      <c r="C6" s="136" t="s">
        <v>20</v>
      </c>
      <c r="D6" s="137" t="s">
        <v>21</v>
      </c>
      <c r="E6" s="136" t="s">
        <v>22</v>
      </c>
      <c r="F6" s="302"/>
      <c r="G6" s="303"/>
      <c r="H6" s="299"/>
      <c r="I6" s="232"/>
      <c r="J6" s="232"/>
    </row>
    <row r="7" spans="1:10" ht="78.95" customHeight="1" thickBot="1">
      <c r="A7" s="277" t="s">
        <v>23</v>
      </c>
      <c r="B7" s="213"/>
      <c r="C7" s="272" t="s">
        <v>1058</v>
      </c>
      <c r="D7" s="252"/>
      <c r="E7" s="292"/>
      <c r="F7" s="296" t="s">
        <v>24</v>
      </c>
      <c r="G7" s="297"/>
      <c r="H7" s="298"/>
      <c r="I7" s="293" t="s">
        <v>25</v>
      </c>
      <c r="J7" s="213"/>
    </row>
    <row r="8" spans="1:10" ht="28.5" customHeight="1" thickBot="1">
      <c r="A8" s="294" t="s">
        <v>26</v>
      </c>
      <c r="B8" s="295" t="s">
        <v>27</v>
      </c>
      <c r="C8" s="281" t="s">
        <v>28</v>
      </c>
      <c r="D8" s="252"/>
      <c r="E8" s="213"/>
      <c r="F8" s="300" t="s">
        <v>29</v>
      </c>
      <c r="G8" s="219"/>
      <c r="H8" s="301" t="s">
        <v>30</v>
      </c>
      <c r="I8" s="274" t="s">
        <v>31</v>
      </c>
      <c r="J8" s="275" t="s">
        <v>32</v>
      </c>
    </row>
    <row r="9" spans="1:10" ht="28.5" customHeight="1" thickBot="1">
      <c r="A9" s="232"/>
      <c r="B9" s="258"/>
      <c r="C9" s="138" t="s">
        <v>33</v>
      </c>
      <c r="D9" s="139" t="s">
        <v>34</v>
      </c>
      <c r="E9" s="140" t="s">
        <v>35</v>
      </c>
      <c r="F9" s="229"/>
      <c r="G9" s="230"/>
      <c r="H9" s="232"/>
      <c r="I9" s="249"/>
      <c r="J9" s="232"/>
    </row>
    <row r="10" spans="1:10" ht="186" customHeight="1" thickBot="1">
      <c r="A10" s="278" t="s">
        <v>36</v>
      </c>
      <c r="B10" s="231" t="s">
        <v>112</v>
      </c>
      <c r="C10" s="291" t="s">
        <v>113</v>
      </c>
      <c r="D10" s="168" t="s">
        <v>1035</v>
      </c>
      <c r="E10" s="168" t="s">
        <v>40</v>
      </c>
      <c r="F10" s="91" t="s">
        <v>1036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44.1" customHeight="1" thickBot="1">
      <c r="A11" s="235"/>
      <c r="B11" s="235"/>
      <c r="C11" s="241"/>
      <c r="D11" s="169"/>
      <c r="E11" s="169"/>
      <c r="F11" s="173" t="s">
        <v>45</v>
      </c>
      <c r="G11" s="174"/>
      <c r="H11" s="169"/>
      <c r="I11" s="169"/>
      <c r="J11" s="169"/>
    </row>
    <row r="12" spans="1:10" ht="89.1" customHeight="1" thickBot="1">
      <c r="A12" s="232"/>
      <c r="B12" s="232"/>
      <c r="C12" s="242"/>
      <c r="D12" s="170"/>
      <c r="E12" s="170"/>
      <c r="F12" s="105" t="s">
        <v>1039</v>
      </c>
      <c r="G12" s="92" t="s">
        <v>1038</v>
      </c>
      <c r="H12" s="170"/>
      <c r="I12" s="170"/>
      <c r="J12" s="170"/>
    </row>
    <row r="13" spans="1:10" ht="101.1" customHeight="1" thickBot="1">
      <c r="A13" s="279" t="s">
        <v>47</v>
      </c>
      <c r="B13" s="290" t="s">
        <v>115</v>
      </c>
      <c r="C13" s="231" t="s">
        <v>1060</v>
      </c>
      <c r="D13" s="234" t="s">
        <v>1059</v>
      </c>
      <c r="E13" s="231" t="s">
        <v>117</v>
      </c>
      <c r="F13" s="141">
        <v>5</v>
      </c>
      <c r="G13" s="142" t="s">
        <v>1061</v>
      </c>
      <c r="H13" s="231" t="s">
        <v>118</v>
      </c>
      <c r="I13" s="231" t="s">
        <v>119</v>
      </c>
      <c r="J13" s="231" t="s">
        <v>120</v>
      </c>
    </row>
    <row r="14" spans="1:10" ht="101.1" customHeight="1">
      <c r="A14" s="235"/>
      <c r="B14" s="235"/>
      <c r="C14" s="235"/>
      <c r="D14" s="235"/>
      <c r="E14" s="235"/>
      <c r="F14" s="289" t="s">
        <v>45</v>
      </c>
      <c r="G14" s="238"/>
      <c r="H14" s="235"/>
      <c r="I14" s="235"/>
      <c r="J14" s="235"/>
    </row>
    <row r="15" spans="1:10" ht="113.1" customHeight="1">
      <c r="A15" s="232"/>
      <c r="B15" s="232"/>
      <c r="C15" s="232"/>
      <c r="D15" s="232"/>
      <c r="E15" s="232"/>
      <c r="F15" s="148">
        <v>6</v>
      </c>
      <c r="G15" s="142" t="s">
        <v>1062</v>
      </c>
      <c r="H15" s="232"/>
      <c r="I15" s="232"/>
      <c r="J15" s="232"/>
    </row>
    <row r="16" spans="1:10" ht="57.75" customHeight="1">
      <c r="A16" s="283" t="s">
        <v>56</v>
      </c>
      <c r="B16" s="234" t="s">
        <v>48</v>
      </c>
      <c r="C16" s="276" t="s">
        <v>49</v>
      </c>
      <c r="D16" s="234" t="s">
        <v>50</v>
      </c>
      <c r="E16" s="234" t="s">
        <v>40</v>
      </c>
      <c r="F16" s="94">
        <v>60</v>
      </c>
      <c r="G16" s="123" t="s">
        <v>51</v>
      </c>
      <c r="H16" s="234" t="s">
        <v>52</v>
      </c>
      <c r="I16" s="234" t="s">
        <v>53</v>
      </c>
      <c r="J16" s="234" t="s">
        <v>54</v>
      </c>
    </row>
    <row r="17" spans="1:10" ht="24" customHeight="1">
      <c r="A17" s="284"/>
      <c r="B17" s="235"/>
      <c r="C17" s="241"/>
      <c r="D17" s="235"/>
      <c r="E17" s="235"/>
      <c r="F17" s="237" t="s">
        <v>45</v>
      </c>
      <c r="G17" s="238"/>
      <c r="H17" s="235"/>
      <c r="I17" s="235"/>
      <c r="J17" s="235"/>
    </row>
    <row r="18" spans="1:10" ht="80.099999999999994" customHeight="1">
      <c r="A18" s="284"/>
      <c r="B18" s="232"/>
      <c r="C18" s="242"/>
      <c r="D18" s="232"/>
      <c r="E18" s="232"/>
      <c r="F18" s="126">
        <v>75</v>
      </c>
      <c r="G18" s="124" t="s">
        <v>55</v>
      </c>
      <c r="H18" s="232"/>
      <c r="I18" s="232"/>
      <c r="J18" s="232"/>
    </row>
    <row r="19" spans="1:10" ht="55.5" customHeight="1">
      <c r="A19" s="284"/>
      <c r="B19" s="231" t="s">
        <v>121</v>
      </c>
      <c r="C19" s="231" t="s">
        <v>122</v>
      </c>
      <c r="D19" s="234" t="s">
        <v>59</v>
      </c>
      <c r="E19" s="234" t="s">
        <v>40</v>
      </c>
      <c r="F19" s="94">
        <v>100</v>
      </c>
      <c r="G19" s="125" t="s">
        <v>60</v>
      </c>
      <c r="H19" s="234" t="s">
        <v>123</v>
      </c>
      <c r="I19" s="234" t="s">
        <v>124</v>
      </c>
      <c r="J19" s="234" t="s">
        <v>125</v>
      </c>
    </row>
    <row r="20" spans="1:10" ht="28.5" customHeight="1">
      <c r="A20" s="284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70.5" customHeight="1">
      <c r="A21" s="285"/>
      <c r="B21" s="232"/>
      <c r="C21" s="232"/>
      <c r="D21" s="232"/>
      <c r="E21" s="232"/>
      <c r="F21" s="126">
        <v>100</v>
      </c>
      <c r="G21" s="127" t="s">
        <v>64</v>
      </c>
      <c r="H21" s="232"/>
      <c r="I21" s="232"/>
      <c r="J21" s="232"/>
    </row>
    <row r="22" spans="1:10" ht="107.1" customHeight="1">
      <c r="A22" s="278" t="s">
        <v>80</v>
      </c>
      <c r="B22" s="231" t="s">
        <v>126</v>
      </c>
      <c r="C22" s="231" t="s">
        <v>127</v>
      </c>
      <c r="D22" s="234" t="s">
        <v>59</v>
      </c>
      <c r="E22" s="231" t="s">
        <v>40</v>
      </c>
      <c r="F22" s="108">
        <v>100</v>
      </c>
      <c r="G22" s="125" t="s">
        <v>128</v>
      </c>
      <c r="H22" s="234" t="s">
        <v>129</v>
      </c>
      <c r="I22" s="234" t="s">
        <v>130</v>
      </c>
      <c r="J22" s="234" t="s">
        <v>79</v>
      </c>
    </row>
    <row r="23" spans="1:10" ht="19.5" customHeight="1">
      <c r="A23" s="235"/>
      <c r="B23" s="235"/>
      <c r="C23" s="235"/>
      <c r="D23" s="235"/>
      <c r="E23" s="235"/>
      <c r="F23" s="287" t="s">
        <v>45</v>
      </c>
      <c r="G23" s="238"/>
      <c r="H23" s="235"/>
      <c r="I23" s="235"/>
      <c r="J23" s="235"/>
    </row>
    <row r="24" spans="1:10" ht="58.5" customHeight="1">
      <c r="A24" s="235"/>
      <c r="B24" s="232"/>
      <c r="C24" s="232"/>
      <c r="D24" s="232"/>
      <c r="E24" s="232"/>
      <c r="F24" s="144">
        <v>100</v>
      </c>
      <c r="G24" s="127" t="s">
        <v>64</v>
      </c>
      <c r="H24" s="232"/>
      <c r="I24" s="232"/>
      <c r="J24" s="232"/>
    </row>
    <row r="25" spans="1:10" ht="64.5" customHeight="1">
      <c r="A25" s="235"/>
      <c r="B25" s="231" t="s">
        <v>131</v>
      </c>
      <c r="C25" s="231" t="s">
        <v>132</v>
      </c>
      <c r="D25" s="234" t="s">
        <v>59</v>
      </c>
      <c r="E25" s="288" t="s">
        <v>40</v>
      </c>
      <c r="F25" s="94">
        <v>100</v>
      </c>
      <c r="G25" s="125" t="s">
        <v>133</v>
      </c>
      <c r="H25" s="234" t="s">
        <v>134</v>
      </c>
      <c r="I25" s="234" t="s">
        <v>135</v>
      </c>
      <c r="J25" s="234" t="s">
        <v>136</v>
      </c>
    </row>
    <row r="26" spans="1:10" ht="23.25" customHeight="1">
      <c r="A26" s="235"/>
      <c r="B26" s="235"/>
      <c r="C26" s="235"/>
      <c r="D26" s="235"/>
      <c r="E26" s="235"/>
      <c r="F26" s="237" t="s">
        <v>45</v>
      </c>
      <c r="G26" s="238"/>
      <c r="H26" s="235"/>
      <c r="I26" s="235"/>
      <c r="J26" s="235"/>
    </row>
    <row r="27" spans="1:10" ht="48.75" customHeight="1">
      <c r="A27" s="232"/>
      <c r="B27" s="232"/>
      <c r="C27" s="232"/>
      <c r="D27" s="232"/>
      <c r="E27" s="232"/>
      <c r="F27" s="128">
        <v>100</v>
      </c>
      <c r="G27" s="127" t="s">
        <v>64</v>
      </c>
      <c r="H27" s="232"/>
      <c r="I27" s="232"/>
      <c r="J27" s="232"/>
    </row>
  </sheetData>
  <mergeCells count="78">
    <mergeCell ref="I1:J1"/>
    <mergeCell ref="I2:J2"/>
    <mergeCell ref="H3:J3"/>
    <mergeCell ref="A1:B2"/>
    <mergeCell ref="C1:G2"/>
    <mergeCell ref="A3:D3"/>
    <mergeCell ref="E3:G3"/>
    <mergeCell ref="F4:G4"/>
    <mergeCell ref="B4:C4"/>
    <mergeCell ref="A5:B5"/>
    <mergeCell ref="C5:E5"/>
    <mergeCell ref="F5:G6"/>
    <mergeCell ref="H5:H6"/>
    <mergeCell ref="I5:I6"/>
    <mergeCell ref="J5:J6"/>
    <mergeCell ref="F8:G9"/>
    <mergeCell ref="H8:H9"/>
    <mergeCell ref="I8:I9"/>
    <mergeCell ref="J8:J9"/>
    <mergeCell ref="A7:B7"/>
    <mergeCell ref="C7:E7"/>
    <mergeCell ref="I7:J7"/>
    <mergeCell ref="A8:A9"/>
    <mergeCell ref="B8:B9"/>
    <mergeCell ref="C8:E8"/>
    <mergeCell ref="F7:H7"/>
    <mergeCell ref="A10:A12"/>
    <mergeCell ref="B10:B12"/>
    <mergeCell ref="C10:C12"/>
    <mergeCell ref="D10:D12"/>
    <mergeCell ref="E10:E12"/>
    <mergeCell ref="I10:I12"/>
    <mergeCell ref="J10:J12"/>
    <mergeCell ref="H13:H15"/>
    <mergeCell ref="F14:G14"/>
    <mergeCell ref="B19:B21"/>
    <mergeCell ref="C19:C21"/>
    <mergeCell ref="F20:G20"/>
    <mergeCell ref="D19:D21"/>
    <mergeCell ref="J19:J21"/>
    <mergeCell ref="B13:B15"/>
    <mergeCell ref="E13:E15"/>
    <mergeCell ref="E19:E21"/>
    <mergeCell ref="H10:H12"/>
    <mergeCell ref="F11:G11"/>
    <mergeCell ref="A13:A15"/>
    <mergeCell ref="C13:C15"/>
    <mergeCell ref="D13:D15"/>
    <mergeCell ref="J13:J15"/>
    <mergeCell ref="A16:A21"/>
    <mergeCell ref="D16:D18"/>
    <mergeCell ref="F17:G17"/>
    <mergeCell ref="B16:B18"/>
    <mergeCell ref="C16:C18"/>
    <mergeCell ref="E16:E18"/>
    <mergeCell ref="I13:I15"/>
    <mergeCell ref="I16:I18"/>
    <mergeCell ref="J16:J18"/>
    <mergeCell ref="H16:H18"/>
    <mergeCell ref="I19:I21"/>
    <mergeCell ref="D22:D24"/>
    <mergeCell ref="D25:D27"/>
    <mergeCell ref="A22:A27"/>
    <mergeCell ref="B22:B24"/>
    <mergeCell ref="C22:C24"/>
    <mergeCell ref="B25:B27"/>
    <mergeCell ref="C25:C27"/>
    <mergeCell ref="E22:E24"/>
    <mergeCell ref="E25:E27"/>
    <mergeCell ref="H22:H24"/>
    <mergeCell ref="H25:H27"/>
    <mergeCell ref="H19:H21"/>
    <mergeCell ref="J22:J24"/>
    <mergeCell ref="F23:G23"/>
    <mergeCell ref="I22:I24"/>
    <mergeCell ref="J25:J27"/>
    <mergeCell ref="F26:G26"/>
    <mergeCell ref="I25:I27"/>
  </mergeCells>
  <conditionalFormatting sqref="F18">
    <cfRule type="cellIs" dxfId="350" priority="1" stopIfTrue="1" operator="lessThan">
      <formula>$F$16</formula>
    </cfRule>
    <cfRule type="cellIs" dxfId="349" priority="2" stopIfTrue="1" operator="greaterThanOrEqual">
      <formula>$F$16</formula>
    </cfRule>
    <cfRule type="cellIs" dxfId="348" priority="3" operator="lessThan">
      <formula>$F$16</formula>
    </cfRule>
    <cfRule type="cellIs" dxfId="347" priority="4" operator="greaterThanOrEqual">
      <formula>$F$16</formula>
    </cfRule>
  </conditionalFormatting>
  <conditionalFormatting sqref="F21 F24 F27">
    <cfRule type="cellIs" dxfId="346" priority="7" operator="greaterThanOrEqual">
      <formula>80</formula>
    </cfRule>
  </conditionalFormatting>
  <conditionalFormatting sqref="F21">
    <cfRule type="cellIs" dxfId="345" priority="6" operator="lessThan">
      <formula>80</formula>
    </cfRule>
    <cfRule type="cellIs" dxfId="344" priority="18" operator="lessThan">
      <formula>$F$16</formula>
    </cfRule>
    <cfRule type="cellIs" dxfId="343" priority="19" operator="greaterThanOrEqual">
      <formula>$F$16</formula>
    </cfRule>
  </conditionalFormatting>
  <conditionalFormatting sqref="F24 F27">
    <cfRule type="cellIs" dxfId="342" priority="5" operator="lessThan">
      <formula>79</formula>
    </cfRule>
  </conditionalFormatting>
  <conditionalFormatting sqref="F24">
    <cfRule type="cellIs" dxfId="341" priority="20" operator="lessThan">
      <formula>$F$16</formula>
    </cfRule>
    <cfRule type="cellIs" dxfId="340" priority="21" operator="greaterThanOrEqual">
      <formula>$F$16</formula>
    </cfRule>
  </conditionalFormatting>
  <conditionalFormatting sqref="F27">
    <cfRule type="cellIs" dxfId="339" priority="22" operator="lessThan">
      <formula>$F$16</formula>
    </cfRule>
    <cfRule type="cellIs" dxfId="338" priority="23" operator="greaterThanOrEqual">
      <formula>$F$16</formula>
    </cfRule>
  </conditionalFormatting>
  <conditionalFormatting sqref="J4">
    <cfRule type="cellIs" dxfId="337" priority="10" operator="lessThan">
      <formula>$H$4</formula>
    </cfRule>
    <cfRule type="cellIs" dxfId="336" priority="11" operator="greaterThan">
      <formula>$H$4</formula>
    </cfRule>
  </conditionalFormatting>
  <pageMargins left="0.25" right="0.25" top="0.75" bottom="0.75" header="0" footer="0"/>
  <pageSetup scale="2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 summaryRight="0"/>
  </sheetPr>
  <dimension ref="A1:T1000"/>
  <sheetViews>
    <sheetView workbookViewId="0"/>
  </sheetViews>
  <sheetFormatPr baseColWidth="10" defaultColWidth="11.125" defaultRowHeight="15" customHeight="1"/>
  <sheetData>
    <row r="1" spans="1:20">
      <c r="A1" s="6" t="str">
        <f ca="1">IFERROR(__xludf.DUMMYFUNCTION("IMPORTRANGE(""https://docs.google.com/spreadsheets/d/1TmYEQeMzhvML_-KtL8YZJYP8jHrpYgyjF0MBmrMqL24/edit?gid=902977684#gid=902977684"",""SINDICATURA 24-25!A1:T"")"),"DEPENDENCIA")</f>
        <v>DEPENDENCIA</v>
      </c>
      <c r="B1" s="6" t="str">
        <f ca="1">IFERROR(__xludf.DUMMYFUNCTION("""COMPUTED_VALUE"""),"SINDICATURA")</f>
        <v>SINDICATURA</v>
      </c>
      <c r="C1" s="6"/>
      <c r="D1" s="6"/>
      <c r="E1" s="6" t="str">
        <f ca="1">IFERROR(__xludf.DUMMYFUNCTION("""COMPUTED_VALUE"""),"PERIODO")</f>
        <v>PERIODO</v>
      </c>
      <c r="F1" s="6" t="str">
        <f ca="1">IFERROR(__xludf.DUMMYFUNCTION("""COMPUTED_VALUE"""),"OCTUBRE 2024 - SEPTIEMBRE 2025")</f>
        <v>OCTUBRE 2024 - SEPTIEMBRE 2025</v>
      </c>
      <c r="G1" s="6"/>
      <c r="H1" s="6" t="str">
        <f ca="1">IFERROR(__xludf.DUMMYFUNCTION("""COMPUTED_VALUE"""),"SISTEMA MUNICIPAL DE GESTION DE RESULTADOS")</f>
        <v>SISTEMA MUNICIPAL DE GESTION DE RESULTADOS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6" t="str">
        <f ca="1">IFERROR(__xludf.DUMMYFUNCTION("""COMPUTED_VALUE"""),"DEPARTAMENTO")</f>
        <v>DEPARTAMENTO</v>
      </c>
      <c r="B2" s="6" t="str">
        <f ca="1">IFERROR(__xludf.DUMMYFUNCTION("""COMPUTED_VALUE"""),"INDICADORES")</f>
        <v>INDICADORES</v>
      </c>
      <c r="C2" s="6" t="str">
        <f ca="1">IFERROR(__xludf.DUMMYFUNCTION("""COMPUTED_VALUE"""),"META ANUAL")</f>
        <v>META ANUAL</v>
      </c>
      <c r="D2" s="6" t="str">
        <f ca="1">IFERROR(__xludf.DUMMYFUNCTION("""COMPUTED_VALUE"""),"UNIDAD DE MEDIDA")</f>
        <v>UNIDAD DE MEDIDA</v>
      </c>
      <c r="E2" s="6" t="str">
        <f ca="1">IFERROR(__xludf.DUMMYFUNCTION("""COMPUTED_VALUE"""),"TIPO DE INDICADOR")</f>
        <v>TIPO DE INDICADOR</v>
      </c>
      <c r="F2" s="6" t="str">
        <f ca="1">IFERROR(__xludf.DUMMYFUNCTION("""COMPUTED_VALUE"""),"MEDIO DE VERIFICACION")</f>
        <v>MEDIO DE VERIFICACION</v>
      </c>
      <c r="G2" s="6" t="str">
        <f ca="1">IFERROR(__xludf.DUMMYFUNCTION("""COMPUTED_VALUE"""),"% AVANCE ")</f>
        <v xml:space="preserve">% AVANCE </v>
      </c>
      <c r="H2" s="6" t="str">
        <f ca="1">IFERROR(__xludf.DUMMYFUNCTION("""COMPUTED_VALUE"""),"OCTUBRE")</f>
        <v>OCTUBRE</v>
      </c>
      <c r="I2" s="6" t="str">
        <f ca="1">IFERROR(__xludf.DUMMYFUNCTION("""COMPUTED_VALUE"""),"NOVIEMBRE")</f>
        <v>NOVIEMBRE</v>
      </c>
      <c r="J2" s="6" t="str">
        <f ca="1">IFERROR(__xludf.DUMMYFUNCTION("""COMPUTED_VALUE"""),"DICIEMBRE")</f>
        <v>DICIEMBRE</v>
      </c>
      <c r="K2" s="6" t="str">
        <f ca="1">IFERROR(__xludf.DUMMYFUNCTION("""COMPUTED_VALUE"""),"ENERO")</f>
        <v>ENERO</v>
      </c>
      <c r="L2" s="6" t="str">
        <f ca="1">IFERROR(__xludf.DUMMYFUNCTION("""COMPUTED_VALUE"""),"FEBRERO")</f>
        <v>FEBRERO</v>
      </c>
      <c r="M2" s="6" t="str">
        <f ca="1">IFERROR(__xludf.DUMMYFUNCTION("""COMPUTED_VALUE"""),"MARZO")</f>
        <v>MARZO</v>
      </c>
      <c r="N2" s="6" t="str">
        <f ca="1">IFERROR(__xludf.DUMMYFUNCTION("""COMPUTED_VALUE"""),"ABRIL")</f>
        <v>ABRIL</v>
      </c>
      <c r="O2" s="6" t="str">
        <f ca="1">IFERROR(__xludf.DUMMYFUNCTION("""COMPUTED_VALUE"""),"MAYO")</f>
        <v>MAYO</v>
      </c>
      <c r="P2" s="6" t="str">
        <f ca="1">IFERROR(__xludf.DUMMYFUNCTION("""COMPUTED_VALUE"""),"JUNIO")</f>
        <v>JUNIO</v>
      </c>
      <c r="Q2" s="6" t="str">
        <f ca="1">IFERROR(__xludf.DUMMYFUNCTION("""COMPUTED_VALUE"""),"JULIO")</f>
        <v>JULIO</v>
      </c>
      <c r="R2" s="6" t="str">
        <f ca="1">IFERROR(__xludf.DUMMYFUNCTION("""COMPUTED_VALUE"""),"AGOSTO")</f>
        <v>AGOSTO</v>
      </c>
      <c r="S2" s="6" t="str">
        <f ca="1">IFERROR(__xludf.DUMMYFUNCTION("""COMPUTED_VALUE"""),"SEPTIEMBRE")</f>
        <v>SEPTIEMBRE</v>
      </c>
      <c r="T2" s="6" t="str">
        <f ca="1">IFERROR(__xludf.DUMMYFUNCTION("""COMPUTED_VALUE"""),"SUMATORIA TOTAL")</f>
        <v>SUMATORIA TOTAL</v>
      </c>
    </row>
    <row r="3" spans="1:20">
      <c r="A3" s="6" t="str">
        <f ca="1">IFERROR(__xludf.DUMMYFUNCTION("""COMPUTED_VALUE"""),"PREVENCION SOCIAL")</f>
        <v>PREVENCION SOCIAL</v>
      </c>
      <c r="B3" s="6" t="str">
        <f ca="1">IFERROR(__xludf.DUMMYFUNCTION("""COMPUTED_VALUE"""),"PROGRAMAS IMPLEMENTADOS")</f>
        <v>PROGRAMAS IMPLEMENTADOS</v>
      </c>
      <c r="C3" s="6">
        <f ca="1">IFERROR(__xludf.DUMMYFUNCTION("""COMPUTED_VALUE"""),28)</f>
        <v>28</v>
      </c>
      <c r="D3" s="6" t="str">
        <f ca="1">IFERROR(__xludf.DUMMYFUNCTION("""COMPUTED_VALUE"""),"PROGRAMAS")</f>
        <v>PROGRAMAS</v>
      </c>
      <c r="E3" s="6" t="str">
        <f ca="1">IFERROR(__xludf.DUMMYFUNCTION("""COMPUTED_VALUE"""),"ASCENDENTE")</f>
        <v>ASCENDENTE</v>
      </c>
      <c r="F3" s="6" t="str">
        <f ca="1">IFERROR(__xludf.DUMMYFUNCTION("""COMPUTED_VALUE"""),"PROGRAMA OPERATIVO ANUAL")</f>
        <v>PROGRAMA OPERATIVO ANUAL</v>
      </c>
      <c r="G3" s="6">
        <f ca="1">IFERROR(__xludf.DUMMYFUNCTION("""COMPUTED_VALUE"""),82.1428571428571)</f>
        <v>82.142857142857096</v>
      </c>
      <c r="H3" s="6">
        <f ca="1">IFERROR(__xludf.DUMMYFUNCTION("""COMPUTED_VALUE"""),1)</f>
        <v>1</v>
      </c>
      <c r="I3" s="6">
        <f ca="1">IFERROR(__xludf.DUMMYFUNCTION("""COMPUTED_VALUE"""),3)</f>
        <v>3</v>
      </c>
      <c r="J3" s="6">
        <f ca="1">IFERROR(__xludf.DUMMYFUNCTION("""COMPUTED_VALUE"""),7)</f>
        <v>7</v>
      </c>
      <c r="K3" s="6">
        <f ca="1">IFERROR(__xludf.DUMMYFUNCTION("""COMPUTED_VALUE"""),3)</f>
        <v>3</v>
      </c>
      <c r="L3" s="6">
        <f ca="1">IFERROR(__xludf.DUMMYFUNCTION("""COMPUTED_VALUE"""),2)</f>
        <v>2</v>
      </c>
      <c r="M3" s="6">
        <f ca="1">IFERROR(__xludf.DUMMYFUNCTION("""COMPUTED_VALUE"""),4)</f>
        <v>4</v>
      </c>
      <c r="N3" s="6">
        <f ca="1">IFERROR(__xludf.DUMMYFUNCTION("""COMPUTED_VALUE"""),1)</f>
        <v>1</v>
      </c>
      <c r="O3" s="6">
        <f ca="1">IFERROR(__xludf.DUMMYFUNCTION("""COMPUTED_VALUE"""),1)</f>
        <v>1</v>
      </c>
      <c r="P3" s="6">
        <f ca="1">IFERROR(__xludf.DUMMYFUNCTION("""COMPUTED_VALUE"""),1)</f>
        <v>1</v>
      </c>
      <c r="Q3" s="6">
        <f ca="1">IFERROR(__xludf.DUMMYFUNCTION("""COMPUTED_VALUE"""),0)</f>
        <v>0</v>
      </c>
      <c r="R3" s="6">
        <f ca="1">IFERROR(__xludf.DUMMYFUNCTION("""COMPUTED_VALUE"""),0)</f>
        <v>0</v>
      </c>
      <c r="S3" s="6">
        <f ca="1">IFERROR(__xludf.DUMMYFUNCTION("""COMPUTED_VALUE"""),0)</f>
        <v>0</v>
      </c>
      <c r="T3" s="6">
        <f ca="1">IFERROR(__xludf.DUMMYFUNCTION("""COMPUTED_VALUE"""),23)</f>
        <v>23</v>
      </c>
    </row>
    <row r="4" spans="1:20">
      <c r="A4" s="6"/>
      <c r="B4" s="6" t="str">
        <f ca="1">IFERROR(__xludf.DUMMYFUNCTION("""COMPUTED_VALUE"""),"PERSONAS BENEFICIADAS")</f>
        <v>PERSONAS BENEFICIADAS</v>
      </c>
      <c r="C4" s="6">
        <f ca="1">IFERROR(__xludf.DUMMYFUNCTION("""COMPUTED_VALUE"""),3460)</f>
        <v>3460</v>
      </c>
      <c r="D4" s="6" t="str">
        <f ca="1">IFERROR(__xludf.DUMMYFUNCTION("""COMPUTED_VALUE"""),"NÚM. DE PERSONAS")</f>
        <v>NÚM. DE PERSONAS</v>
      </c>
      <c r="E4" s="6" t="str">
        <f ca="1">IFERROR(__xludf.DUMMYFUNCTION("""COMPUTED_VALUE"""),"ASCENDENTE")</f>
        <v>ASCENDENTE</v>
      </c>
      <c r="F4" s="6" t="str">
        <f ca="1">IFERROR(__xludf.DUMMYFUNCTION("""COMPUTED_VALUE"""),"PROGRAMA OPERATIVO ANUAL")</f>
        <v>PROGRAMA OPERATIVO ANUAL</v>
      </c>
      <c r="G4" s="6">
        <f ca="1">IFERROR(__xludf.DUMMYFUNCTION("""COMPUTED_VALUE"""),94.9710982658959)</f>
        <v>94.971098265895904</v>
      </c>
      <c r="H4" s="6">
        <f ca="1">IFERROR(__xludf.DUMMYFUNCTION("""COMPUTED_VALUE"""),40)</f>
        <v>40</v>
      </c>
      <c r="I4" s="6">
        <f ca="1">IFERROR(__xludf.DUMMYFUNCTION("""COMPUTED_VALUE"""),250)</f>
        <v>250</v>
      </c>
      <c r="J4" s="6">
        <f ca="1">IFERROR(__xludf.DUMMYFUNCTION("""COMPUTED_VALUE"""),470)</f>
        <v>470</v>
      </c>
      <c r="K4" s="6">
        <f ca="1">IFERROR(__xludf.DUMMYFUNCTION("""COMPUTED_VALUE"""),772)</f>
        <v>772</v>
      </c>
      <c r="L4" s="6">
        <f ca="1">IFERROR(__xludf.DUMMYFUNCTION("""COMPUTED_VALUE"""),810)</f>
        <v>810</v>
      </c>
      <c r="M4" s="6">
        <f ca="1">IFERROR(__xludf.DUMMYFUNCTION("""COMPUTED_VALUE"""),840)</f>
        <v>840</v>
      </c>
      <c r="N4" s="6">
        <f ca="1">IFERROR(__xludf.DUMMYFUNCTION("""COMPUTED_VALUE"""),38)</f>
        <v>38</v>
      </c>
      <c r="O4" s="6">
        <f ca="1">IFERROR(__xludf.DUMMYFUNCTION("""COMPUTED_VALUE"""),40)</f>
        <v>40</v>
      </c>
      <c r="P4" s="6">
        <f ca="1">IFERROR(__xludf.DUMMYFUNCTION("""COMPUTED_VALUE"""),26)</f>
        <v>26</v>
      </c>
      <c r="Q4" s="6">
        <f ca="1">IFERROR(__xludf.DUMMYFUNCTION("""COMPUTED_VALUE"""),0)</f>
        <v>0</v>
      </c>
      <c r="R4" s="6">
        <f ca="1">IFERROR(__xludf.DUMMYFUNCTION("""COMPUTED_VALUE"""),0)</f>
        <v>0</v>
      </c>
      <c r="S4" s="6">
        <f ca="1">IFERROR(__xludf.DUMMYFUNCTION("""COMPUTED_VALUE"""),0)</f>
        <v>0</v>
      </c>
      <c r="T4" s="6">
        <f ca="1">IFERROR(__xludf.DUMMYFUNCTION("""COMPUTED_VALUE"""),3286)</f>
        <v>3286</v>
      </c>
    </row>
    <row r="5" spans="1:20">
      <c r="A5" s="6" t="str">
        <f ca="1">IFERROR(__xludf.DUMMYFUNCTION("""COMPUTED_VALUE"""),"DIRECCION JURIDICA")</f>
        <v>DIRECCION JURIDICA</v>
      </c>
      <c r="B5" s="6" t="str">
        <f ca="1">IFERROR(__xludf.DUMMYFUNCTION("""COMPUTED_VALUE"""),"NUMERO DE JUICIOS ATENDIDOS")</f>
        <v>NUMERO DE JUICIOS ATENDIDOS</v>
      </c>
      <c r="C5" s="6">
        <f ca="1">IFERROR(__xludf.DUMMYFUNCTION("""COMPUTED_VALUE"""),155)</f>
        <v>155</v>
      </c>
      <c r="D5" s="6" t="str">
        <f ca="1">IFERROR(__xludf.DUMMYFUNCTION("""COMPUTED_VALUE"""),"JUICIOS ATENDIDOS")</f>
        <v>JUICIOS ATENDIDOS</v>
      </c>
      <c r="E5" s="6" t="str">
        <f ca="1">IFERROR(__xludf.DUMMYFUNCTION("""COMPUTED_VALUE"""),"ASCENDENTE")</f>
        <v>ASCENDENTE</v>
      </c>
      <c r="F5" s="6" t="str">
        <f ca="1">IFERROR(__xludf.DUMMYFUNCTION("""COMPUTED_VALUE"""),"BITACORA OPERATIVA")</f>
        <v>BITACORA OPERATIVA</v>
      </c>
      <c r="G5" s="6">
        <f ca="1">IFERROR(__xludf.DUMMYFUNCTION("""COMPUTED_VALUE"""),81.2903225806451)</f>
        <v>81.290322580645096</v>
      </c>
      <c r="H5" s="6">
        <f ca="1">IFERROR(__xludf.DUMMYFUNCTION("""COMPUTED_VALUE"""),10)</f>
        <v>10</v>
      </c>
      <c r="I5" s="6">
        <f ca="1">IFERROR(__xludf.DUMMYFUNCTION("""COMPUTED_VALUE"""),17)</f>
        <v>17</v>
      </c>
      <c r="J5" s="6">
        <f ca="1">IFERROR(__xludf.DUMMYFUNCTION("""COMPUTED_VALUE"""),14)</f>
        <v>14</v>
      </c>
      <c r="K5" s="6">
        <f ca="1">IFERROR(__xludf.DUMMYFUNCTION("""COMPUTED_VALUE"""),16)</f>
        <v>16</v>
      </c>
      <c r="L5" s="6">
        <f ca="1">IFERROR(__xludf.DUMMYFUNCTION("""COMPUTED_VALUE"""),14)</f>
        <v>14</v>
      </c>
      <c r="M5" s="6">
        <f ca="1">IFERROR(__xludf.DUMMYFUNCTION("""COMPUTED_VALUE"""),18)</f>
        <v>18</v>
      </c>
      <c r="N5" s="6">
        <f ca="1">IFERROR(__xludf.DUMMYFUNCTION("""COMPUTED_VALUE"""),11)</f>
        <v>11</v>
      </c>
      <c r="O5" s="6">
        <f ca="1">IFERROR(__xludf.DUMMYFUNCTION("""COMPUTED_VALUE"""),13)</f>
        <v>13</v>
      </c>
      <c r="P5" s="6">
        <f ca="1">IFERROR(__xludf.DUMMYFUNCTION("""COMPUTED_VALUE"""),13)</f>
        <v>13</v>
      </c>
      <c r="Q5" s="6">
        <f ca="1">IFERROR(__xludf.DUMMYFUNCTION("""COMPUTED_VALUE"""),0)</f>
        <v>0</v>
      </c>
      <c r="R5" s="6">
        <f ca="1">IFERROR(__xludf.DUMMYFUNCTION("""COMPUTED_VALUE"""),0)</f>
        <v>0</v>
      </c>
      <c r="S5" s="6">
        <f ca="1">IFERROR(__xludf.DUMMYFUNCTION("""COMPUTED_VALUE"""),0)</f>
        <v>0</v>
      </c>
      <c r="T5" s="6">
        <f ca="1">IFERROR(__xludf.DUMMYFUNCTION("""COMPUTED_VALUE"""),126)</f>
        <v>126</v>
      </c>
    </row>
    <row r="6" spans="1:20">
      <c r="A6" s="6" t="str">
        <f ca="1">IFERROR(__xludf.DUMMYFUNCTION("""COMPUTED_VALUE"""),"SUB DIRECCION JURIDICA")</f>
        <v>SUB DIRECCION JURIDICA</v>
      </c>
      <c r="B6" s="6" t="str">
        <f ca="1">IFERROR(__xludf.DUMMYFUNCTION("""COMPUTED_VALUE"""),"NUMERO DE ASESORIAS JURIDICAS")</f>
        <v>NUMERO DE ASESORIAS JURIDICAS</v>
      </c>
      <c r="C6" s="6">
        <f ca="1">IFERROR(__xludf.DUMMYFUNCTION("""COMPUTED_VALUE"""),480)</f>
        <v>480</v>
      </c>
      <c r="D6" s="6" t="str">
        <f ca="1">IFERROR(__xludf.DUMMYFUNCTION("""COMPUTED_VALUE"""),"ASESORIAS ")</f>
        <v xml:space="preserve">ASESORIAS </v>
      </c>
      <c r="E6" s="6" t="str">
        <f ca="1">IFERROR(__xludf.DUMMYFUNCTION("""COMPUTED_VALUE"""),"ASCENDENTE")</f>
        <v>ASCENDENTE</v>
      </c>
      <c r="F6" s="6" t="str">
        <f ca="1">IFERROR(__xludf.DUMMYFUNCTION("""COMPUTED_VALUE"""),"BITACORA OPERATIVA")</f>
        <v>BITACORA OPERATIVA</v>
      </c>
      <c r="G6" s="6">
        <f ca="1">IFERROR(__xludf.DUMMYFUNCTION("""COMPUTED_VALUE"""),95.2083333333333)</f>
        <v>95.2083333333333</v>
      </c>
      <c r="H6" s="6">
        <f ca="1">IFERROR(__xludf.DUMMYFUNCTION("""COMPUTED_VALUE"""),48)</f>
        <v>48</v>
      </c>
      <c r="I6" s="6">
        <f ca="1">IFERROR(__xludf.DUMMYFUNCTION("""COMPUTED_VALUE"""),55)</f>
        <v>55</v>
      </c>
      <c r="J6" s="6">
        <f ca="1">IFERROR(__xludf.DUMMYFUNCTION("""COMPUTED_VALUE"""),46)</f>
        <v>46</v>
      </c>
      <c r="K6" s="6">
        <f ca="1">IFERROR(__xludf.DUMMYFUNCTION("""COMPUTED_VALUE"""),52)</f>
        <v>52</v>
      </c>
      <c r="L6" s="6">
        <f ca="1">IFERROR(__xludf.DUMMYFUNCTION("""COMPUTED_VALUE"""),54)</f>
        <v>54</v>
      </c>
      <c r="M6" s="6">
        <f ca="1">IFERROR(__xludf.DUMMYFUNCTION("""COMPUTED_VALUE"""),59)</f>
        <v>59</v>
      </c>
      <c r="N6" s="6">
        <f ca="1">IFERROR(__xludf.DUMMYFUNCTION("""COMPUTED_VALUE"""),58)</f>
        <v>58</v>
      </c>
      <c r="O6" s="6">
        <f ca="1">IFERROR(__xludf.DUMMYFUNCTION("""COMPUTED_VALUE"""),48)</f>
        <v>48</v>
      </c>
      <c r="P6" s="6">
        <f ca="1">IFERROR(__xludf.DUMMYFUNCTION("""COMPUTED_VALUE"""),37)</f>
        <v>37</v>
      </c>
      <c r="Q6" s="6">
        <f ca="1">IFERROR(__xludf.DUMMYFUNCTION("""COMPUTED_VALUE"""),0)</f>
        <v>0</v>
      </c>
      <c r="R6" s="6">
        <f ca="1">IFERROR(__xludf.DUMMYFUNCTION("""COMPUTED_VALUE"""),0)</f>
        <v>0</v>
      </c>
      <c r="S6" s="6">
        <f ca="1">IFERROR(__xludf.DUMMYFUNCTION("""COMPUTED_VALUE"""),0)</f>
        <v>0</v>
      </c>
      <c r="T6" s="6">
        <f ca="1">IFERROR(__xludf.DUMMYFUNCTION("""COMPUTED_VALUE"""),457)</f>
        <v>457</v>
      </c>
    </row>
    <row r="7" spans="1:20">
      <c r="A7" s="6"/>
      <c r="B7" s="6" t="str">
        <f ca="1">IFERROR(__xludf.DUMMYFUNCTION("""COMPUTED_VALUE"""),"PERSONAS BENEFICIADAS SIPPINA")</f>
        <v>PERSONAS BENEFICIADAS SIPPINA</v>
      </c>
      <c r="C7" s="6">
        <f ca="1">IFERROR(__xludf.DUMMYFUNCTION("""COMPUTED_VALUE"""),15)</f>
        <v>15</v>
      </c>
      <c r="D7" s="6" t="str">
        <f ca="1">IFERROR(__xludf.DUMMYFUNCTION("""COMPUTED_VALUE"""),"NÚM. DE PERSONAS")</f>
        <v>NÚM. DE PERSONAS</v>
      </c>
      <c r="E7" s="6" t="str">
        <f ca="1">IFERROR(__xludf.DUMMYFUNCTION("""COMPUTED_VALUE"""),"ASCENDENTE")</f>
        <v>ASCENDENTE</v>
      </c>
      <c r="F7" s="6" t="str">
        <f ca="1">IFERROR(__xludf.DUMMYFUNCTION("""COMPUTED_VALUE"""),"BITACORA OPERATIVA")</f>
        <v>BITACORA OPERATIVA</v>
      </c>
      <c r="G7" s="6">
        <f ca="1">IFERROR(__xludf.DUMMYFUNCTION("""COMPUTED_VALUE"""),86.6666666666666)</f>
        <v>86.6666666666666</v>
      </c>
      <c r="H7" s="6">
        <f ca="1">IFERROR(__xludf.DUMMYFUNCTION("""COMPUTED_VALUE"""),0)</f>
        <v>0</v>
      </c>
      <c r="I7" s="6">
        <f ca="1">IFERROR(__xludf.DUMMYFUNCTION("""COMPUTED_VALUE"""),0)</f>
        <v>0</v>
      </c>
      <c r="J7" s="6">
        <f ca="1">IFERROR(__xludf.DUMMYFUNCTION("""COMPUTED_VALUE"""),0)</f>
        <v>0</v>
      </c>
      <c r="K7" s="6">
        <f ca="1">IFERROR(__xludf.DUMMYFUNCTION("""COMPUTED_VALUE"""),0)</f>
        <v>0</v>
      </c>
      <c r="L7" s="6">
        <f ca="1">IFERROR(__xludf.DUMMYFUNCTION("""COMPUTED_VALUE"""),0)</f>
        <v>0</v>
      </c>
      <c r="M7" s="6">
        <f ca="1">IFERROR(__xludf.DUMMYFUNCTION("""COMPUTED_VALUE"""),0)</f>
        <v>0</v>
      </c>
      <c r="N7" s="6">
        <f ca="1">IFERROR(__xludf.DUMMYFUNCTION("""COMPUTED_VALUE"""),8)</f>
        <v>8</v>
      </c>
      <c r="O7" s="6">
        <f ca="1">IFERROR(__xludf.DUMMYFUNCTION("""COMPUTED_VALUE"""),4)</f>
        <v>4</v>
      </c>
      <c r="P7" s="6">
        <f ca="1">IFERROR(__xludf.DUMMYFUNCTION("""COMPUTED_VALUE"""),1)</f>
        <v>1</v>
      </c>
      <c r="Q7" s="6">
        <f ca="1">IFERROR(__xludf.DUMMYFUNCTION("""COMPUTED_VALUE"""),0)</f>
        <v>0</v>
      </c>
      <c r="R7" s="6">
        <f ca="1">IFERROR(__xludf.DUMMYFUNCTION("""COMPUTED_VALUE"""),0)</f>
        <v>0</v>
      </c>
      <c r="S7" s="6">
        <f ca="1">IFERROR(__xludf.DUMMYFUNCTION("""COMPUTED_VALUE"""),0)</f>
        <v>0</v>
      </c>
      <c r="T7" s="6">
        <f ca="1">IFERROR(__xludf.DUMMYFUNCTION("""COMPUTED_VALUE"""),13)</f>
        <v>13</v>
      </c>
    </row>
    <row r="8" spans="1:20">
      <c r="A8" s="6" t="str">
        <f ca="1">IFERROR(__xludf.DUMMYFUNCTION("""COMPUTED_VALUE"""),"JUZGADOS MUNICIPALES")</f>
        <v>JUZGADOS MUNICIPALES</v>
      </c>
      <c r="B8" s="6" t="str">
        <f ca="1">IFERROR(__xludf.DUMMYFUNCTION("""COMPUTED_VALUE"""),"AUTOS PUESTOS A DISPOCISION")</f>
        <v>AUTOS PUESTOS A DISPOCISION</v>
      </c>
      <c r="C8" s="6">
        <f ca="1">IFERROR(__xludf.DUMMYFUNCTION("""COMPUTED_VALUE"""),350)</f>
        <v>350</v>
      </c>
      <c r="D8" s="6" t="str">
        <f ca="1">IFERROR(__xludf.DUMMYFUNCTION("""COMPUTED_VALUE"""),"AUTOS")</f>
        <v>AUTOS</v>
      </c>
      <c r="E8" s="6" t="str">
        <f ca="1">IFERROR(__xludf.DUMMYFUNCTION("""COMPUTED_VALUE"""),"DESCENDENTE")</f>
        <v>DESCENDENTE</v>
      </c>
      <c r="F8" s="6" t="str">
        <f ca="1">IFERROR(__xludf.DUMMYFUNCTION("""COMPUTED_VALUE"""),"BITACORA OPERATIVA")</f>
        <v>BITACORA OPERATIVA</v>
      </c>
      <c r="G8" s="6">
        <f ca="1">IFERROR(__xludf.DUMMYFUNCTION("""COMPUTED_VALUE"""),84.2857142857142)</f>
        <v>84.285714285714207</v>
      </c>
      <c r="H8" s="6">
        <f ca="1">IFERROR(__xludf.DUMMYFUNCTION("""COMPUTED_VALUE"""),6)</f>
        <v>6</v>
      </c>
      <c r="I8" s="6">
        <f ca="1">IFERROR(__xludf.DUMMYFUNCTION("""COMPUTED_VALUE"""),87)</f>
        <v>87</v>
      </c>
      <c r="J8" s="6">
        <f ca="1">IFERROR(__xludf.DUMMYFUNCTION("""COMPUTED_VALUE"""),45)</f>
        <v>45</v>
      </c>
      <c r="K8" s="6">
        <f ca="1">IFERROR(__xludf.DUMMYFUNCTION("""COMPUTED_VALUE"""),24)</f>
        <v>24</v>
      </c>
      <c r="L8" s="6">
        <f ca="1">IFERROR(__xludf.DUMMYFUNCTION("""COMPUTED_VALUE"""),17)</f>
        <v>17</v>
      </c>
      <c r="M8" s="6">
        <f ca="1">IFERROR(__xludf.DUMMYFUNCTION("""COMPUTED_VALUE"""),24)</f>
        <v>24</v>
      </c>
      <c r="N8" s="6">
        <f ca="1">IFERROR(__xludf.DUMMYFUNCTION("""COMPUTED_VALUE"""),20)</f>
        <v>20</v>
      </c>
      <c r="O8" s="6">
        <f ca="1">IFERROR(__xludf.DUMMYFUNCTION("""COMPUTED_VALUE"""),32)</f>
        <v>32</v>
      </c>
      <c r="P8" s="6">
        <f ca="1">IFERROR(__xludf.DUMMYFUNCTION("""COMPUTED_VALUE"""),40)</f>
        <v>40</v>
      </c>
      <c r="Q8" s="6">
        <f ca="1">IFERROR(__xludf.DUMMYFUNCTION("""COMPUTED_VALUE"""),0)</f>
        <v>0</v>
      </c>
      <c r="R8" s="6">
        <f ca="1">IFERROR(__xludf.DUMMYFUNCTION("""COMPUTED_VALUE"""),0)</f>
        <v>0</v>
      </c>
      <c r="S8" s="6">
        <f ca="1">IFERROR(__xludf.DUMMYFUNCTION("""COMPUTED_VALUE"""),0)</f>
        <v>0</v>
      </c>
      <c r="T8" s="6">
        <f ca="1">IFERROR(__xludf.DUMMYFUNCTION("""COMPUTED_VALUE"""),295)</f>
        <v>295</v>
      </c>
    </row>
    <row r="9" spans="1:20">
      <c r="A9" s="6"/>
      <c r="B9" s="6" t="str">
        <f ca="1">IFERROR(__xludf.DUMMYFUNCTION("""COMPUTED_VALUE"""),"MOTOS PUESTAS A DISPOSICION")</f>
        <v>MOTOS PUESTAS A DISPOSICION</v>
      </c>
      <c r="C9" s="6">
        <f ca="1">IFERROR(__xludf.DUMMYFUNCTION("""COMPUTED_VALUE"""),1050)</f>
        <v>1050</v>
      </c>
      <c r="D9" s="6" t="str">
        <f ca="1">IFERROR(__xludf.DUMMYFUNCTION("""COMPUTED_VALUE"""),"MOTOCICLETAS")</f>
        <v>MOTOCICLETAS</v>
      </c>
      <c r="E9" s="6" t="str">
        <f ca="1">IFERROR(__xludf.DUMMYFUNCTION("""COMPUTED_VALUE"""),"DESCENDENTE")</f>
        <v>DESCENDENTE</v>
      </c>
      <c r="F9" s="6" t="str">
        <f ca="1">IFERROR(__xludf.DUMMYFUNCTION("""COMPUTED_VALUE"""),"BITACORA OPERATIVA")</f>
        <v>BITACORA OPERATIVA</v>
      </c>
      <c r="G9" s="6">
        <f ca="1">IFERROR(__xludf.DUMMYFUNCTION("""COMPUTED_VALUE"""),71.1428571428571)</f>
        <v>71.142857142857096</v>
      </c>
      <c r="H9" s="6">
        <f ca="1">IFERROR(__xludf.DUMMYFUNCTION("""COMPUTED_VALUE"""),70)</f>
        <v>70</v>
      </c>
      <c r="I9" s="6">
        <f ca="1">IFERROR(__xludf.DUMMYFUNCTION("""COMPUTED_VALUE"""),91)</f>
        <v>91</v>
      </c>
      <c r="J9" s="6">
        <f ca="1">IFERROR(__xludf.DUMMYFUNCTION("""COMPUTED_VALUE"""),105)</f>
        <v>105</v>
      </c>
      <c r="K9" s="6">
        <f ca="1">IFERROR(__xludf.DUMMYFUNCTION("""COMPUTED_VALUE"""),118)</f>
        <v>118</v>
      </c>
      <c r="L9" s="6">
        <f ca="1">IFERROR(__xludf.DUMMYFUNCTION("""COMPUTED_VALUE"""),110)</f>
        <v>110</v>
      </c>
      <c r="M9" s="6">
        <f ca="1">IFERROR(__xludf.DUMMYFUNCTION("""COMPUTED_VALUE"""),97)</f>
        <v>97</v>
      </c>
      <c r="N9" s="6">
        <f ca="1">IFERROR(__xludf.DUMMYFUNCTION("""COMPUTED_VALUE"""),52)</f>
        <v>52</v>
      </c>
      <c r="O9" s="6">
        <f ca="1">IFERROR(__xludf.DUMMYFUNCTION("""COMPUTED_VALUE"""),63)</f>
        <v>63</v>
      </c>
      <c r="P9" s="6">
        <f ca="1">IFERROR(__xludf.DUMMYFUNCTION("""COMPUTED_VALUE"""),41)</f>
        <v>41</v>
      </c>
      <c r="Q9" s="6">
        <f ca="1">IFERROR(__xludf.DUMMYFUNCTION("""COMPUTED_VALUE"""),0)</f>
        <v>0</v>
      </c>
      <c r="R9" s="6">
        <f ca="1">IFERROR(__xludf.DUMMYFUNCTION("""COMPUTED_VALUE"""),0)</f>
        <v>0</v>
      </c>
      <c r="S9" s="6">
        <f ca="1">IFERROR(__xludf.DUMMYFUNCTION("""COMPUTED_VALUE"""),0)</f>
        <v>0</v>
      </c>
      <c r="T9" s="6">
        <f ca="1">IFERROR(__xludf.DUMMYFUNCTION("""COMPUTED_VALUE"""),747)</f>
        <v>747</v>
      </c>
    </row>
    <row r="10" spans="1:20">
      <c r="A10" s="6"/>
      <c r="B10" s="6" t="str">
        <f ca="1">IFERROR(__xludf.DUMMYFUNCTION("""COMPUTED_VALUE"""),"PERSONAS DETENIDAS POR FALTAS ADMINISTRATIVAS")</f>
        <v>PERSONAS DETENIDAS POR FALTAS ADMINISTRATIVAS</v>
      </c>
      <c r="C10" s="6">
        <f ca="1">IFERROR(__xludf.DUMMYFUNCTION("""COMPUTED_VALUE"""),390)</f>
        <v>390</v>
      </c>
      <c r="D10" s="6" t="str">
        <f ca="1">IFERROR(__xludf.DUMMYFUNCTION("""COMPUTED_VALUE"""),"NÚM. DE PERSONAS")</f>
        <v>NÚM. DE PERSONAS</v>
      </c>
      <c r="E10" s="6" t="str">
        <f ca="1">IFERROR(__xludf.DUMMYFUNCTION("""COMPUTED_VALUE"""),"DESCENDENTE")</f>
        <v>DESCENDENTE</v>
      </c>
      <c r="F10" s="6" t="str">
        <f ca="1">IFERROR(__xludf.DUMMYFUNCTION("""COMPUTED_VALUE"""),"BITACORA OPERATIVA")</f>
        <v>BITACORA OPERATIVA</v>
      </c>
      <c r="G10" s="6">
        <f ca="1">IFERROR(__xludf.DUMMYFUNCTION("""COMPUTED_VALUE"""),83.5897435897435)</f>
        <v>83.589743589743506</v>
      </c>
      <c r="H10" s="6">
        <f ca="1">IFERROR(__xludf.DUMMYFUNCTION("""COMPUTED_VALUE"""),25)</f>
        <v>25</v>
      </c>
      <c r="I10" s="6">
        <f ca="1">IFERROR(__xludf.DUMMYFUNCTION("""COMPUTED_VALUE"""),35)</f>
        <v>35</v>
      </c>
      <c r="J10" s="6">
        <f ca="1">IFERROR(__xludf.DUMMYFUNCTION("""COMPUTED_VALUE"""),58)</f>
        <v>58</v>
      </c>
      <c r="K10" s="6">
        <f ca="1">IFERROR(__xludf.DUMMYFUNCTION("""COMPUTED_VALUE"""),42)</f>
        <v>42</v>
      </c>
      <c r="L10" s="6">
        <f ca="1">IFERROR(__xludf.DUMMYFUNCTION("""COMPUTED_VALUE"""),48)</f>
        <v>48</v>
      </c>
      <c r="M10" s="6">
        <f ca="1">IFERROR(__xludf.DUMMYFUNCTION("""COMPUTED_VALUE"""),50)</f>
        <v>50</v>
      </c>
      <c r="N10" s="6">
        <f ca="1">IFERROR(__xludf.DUMMYFUNCTION("""COMPUTED_VALUE"""),23)</f>
        <v>23</v>
      </c>
      <c r="O10" s="6">
        <f ca="1">IFERROR(__xludf.DUMMYFUNCTION("""COMPUTED_VALUE"""),29)</f>
        <v>29</v>
      </c>
      <c r="P10" s="6">
        <f ca="1">IFERROR(__xludf.DUMMYFUNCTION("""COMPUTED_VALUE"""),16)</f>
        <v>16</v>
      </c>
      <c r="Q10" s="6">
        <f ca="1">IFERROR(__xludf.DUMMYFUNCTION("""COMPUTED_VALUE"""),0)</f>
        <v>0</v>
      </c>
      <c r="R10" s="6">
        <f ca="1">IFERROR(__xludf.DUMMYFUNCTION("""COMPUTED_VALUE"""),0)</f>
        <v>0</v>
      </c>
      <c r="S10" s="6">
        <f ca="1">IFERROR(__xludf.DUMMYFUNCTION("""COMPUTED_VALUE"""),0)</f>
        <v>0</v>
      </c>
      <c r="T10" s="6">
        <f ca="1">IFERROR(__xludf.DUMMYFUNCTION("""COMPUTED_VALUE"""),326)</f>
        <v>326</v>
      </c>
    </row>
    <row r="1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 summaryRight="0"/>
  </sheetPr>
  <dimension ref="A1:T1000"/>
  <sheetViews>
    <sheetView workbookViewId="0"/>
  </sheetViews>
  <sheetFormatPr baseColWidth="10" defaultColWidth="11.125" defaultRowHeight="15" customHeight="1"/>
  <sheetData>
    <row r="1" spans="1:20">
      <c r="A1" s="6" t="str">
        <f ca="1">IFERROR(__xludf.DUMMYFUNCTION("IMPORTRANGE(""https://docs.google.com/spreadsheets/d/1iZosbKi1BwFbCuygLj4QWJ7-lI_YkQaaeEo_ji6_TwI/edit?gid=1402997126#gid=1402997126"",""PRESIDENCIA 24-25!A1:T"")"),"DEPENDENCIA")</f>
        <v>DEPENDENCIA</v>
      </c>
      <c r="B1" s="6" t="str">
        <f ca="1">IFERROR(__xludf.DUMMYFUNCTION("""COMPUTED_VALUE"""),"PRESIDENCIA")</f>
        <v>PRESIDENCIA</v>
      </c>
      <c r="C1" s="6"/>
      <c r="D1" s="6"/>
      <c r="E1" s="6" t="str">
        <f ca="1">IFERROR(__xludf.DUMMYFUNCTION("""COMPUTED_VALUE"""),"PERIODO")</f>
        <v>PERIODO</v>
      </c>
      <c r="F1" s="6" t="str">
        <f ca="1">IFERROR(__xludf.DUMMYFUNCTION("""COMPUTED_VALUE"""),"OCTUBRE 2024 - SEPTIEMBRE 2025")</f>
        <v>OCTUBRE 2024 - SEPTIEMBRE 2025</v>
      </c>
      <c r="G1" s="6"/>
      <c r="H1" s="6" t="str">
        <f ca="1">IFERROR(__xludf.DUMMYFUNCTION("""COMPUTED_VALUE"""),"SISTEMA MUNICIPAL DE GESTION DE RESULTADOS")</f>
        <v>SISTEMA MUNICIPAL DE GESTION DE RESULTADOS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6" t="str">
        <f ca="1">IFERROR(__xludf.DUMMYFUNCTION("""COMPUTED_VALUE"""),"DEPARTAMENTO")</f>
        <v>DEPARTAMENTO</v>
      </c>
      <c r="B2" s="6" t="str">
        <f ca="1">IFERROR(__xludf.DUMMYFUNCTION("""COMPUTED_VALUE"""),"INDICADORES")</f>
        <v>INDICADORES</v>
      </c>
      <c r="C2" s="6" t="str">
        <f ca="1">IFERROR(__xludf.DUMMYFUNCTION("""COMPUTED_VALUE"""),"META ANUAL")</f>
        <v>META ANUAL</v>
      </c>
      <c r="D2" s="6" t="str">
        <f ca="1">IFERROR(__xludf.DUMMYFUNCTION("""COMPUTED_VALUE"""),"UNIDAD DE MEDIDA")</f>
        <v>UNIDAD DE MEDIDA</v>
      </c>
      <c r="E2" s="6" t="str">
        <f ca="1">IFERROR(__xludf.DUMMYFUNCTION("""COMPUTED_VALUE"""),"TIPO DE INDICADOR")</f>
        <v>TIPO DE INDICADOR</v>
      </c>
      <c r="F2" s="6" t="str">
        <f ca="1">IFERROR(__xludf.DUMMYFUNCTION("""COMPUTED_VALUE"""),"MEDIO DE VERIFICACION")</f>
        <v>MEDIO DE VERIFICACION</v>
      </c>
      <c r="G2" s="6" t="str">
        <f ca="1">IFERROR(__xludf.DUMMYFUNCTION("""COMPUTED_VALUE"""),"% AVANCE ")</f>
        <v xml:space="preserve">% AVANCE </v>
      </c>
      <c r="H2" s="6" t="str">
        <f ca="1">IFERROR(__xludf.DUMMYFUNCTION("""COMPUTED_VALUE"""),"OCTUBRE")</f>
        <v>OCTUBRE</v>
      </c>
      <c r="I2" s="6" t="str">
        <f ca="1">IFERROR(__xludf.DUMMYFUNCTION("""COMPUTED_VALUE"""),"NOVIEMBRE")</f>
        <v>NOVIEMBRE</v>
      </c>
      <c r="J2" s="6" t="str">
        <f ca="1">IFERROR(__xludf.DUMMYFUNCTION("""COMPUTED_VALUE"""),"DICIEMBRE")</f>
        <v>DICIEMBRE</v>
      </c>
      <c r="K2" s="6" t="str">
        <f ca="1">IFERROR(__xludf.DUMMYFUNCTION("""COMPUTED_VALUE"""),"ENERO")</f>
        <v>ENERO</v>
      </c>
      <c r="L2" s="6" t="str">
        <f ca="1">IFERROR(__xludf.DUMMYFUNCTION("""COMPUTED_VALUE"""),"FEBRERO")</f>
        <v>FEBRERO</v>
      </c>
      <c r="M2" s="6" t="str">
        <f ca="1">IFERROR(__xludf.DUMMYFUNCTION("""COMPUTED_VALUE"""),"MARZO")</f>
        <v>MARZO</v>
      </c>
      <c r="N2" s="6" t="str">
        <f ca="1">IFERROR(__xludf.DUMMYFUNCTION("""COMPUTED_VALUE"""),"ABRIL")</f>
        <v>ABRIL</v>
      </c>
      <c r="O2" s="6" t="str">
        <f ca="1">IFERROR(__xludf.DUMMYFUNCTION("""COMPUTED_VALUE"""),"MAYO")</f>
        <v>MAYO</v>
      </c>
      <c r="P2" s="6" t="str">
        <f ca="1">IFERROR(__xludf.DUMMYFUNCTION("""COMPUTED_VALUE"""),"JUNIO")</f>
        <v>JUNIO</v>
      </c>
      <c r="Q2" s="6" t="str">
        <f ca="1">IFERROR(__xludf.DUMMYFUNCTION("""COMPUTED_VALUE"""),"JULIO")</f>
        <v>JULIO</v>
      </c>
      <c r="R2" s="6" t="str">
        <f ca="1">IFERROR(__xludf.DUMMYFUNCTION("""COMPUTED_VALUE"""),"AGOSTO")</f>
        <v>AGOSTO</v>
      </c>
      <c r="S2" s="6" t="str">
        <f ca="1">IFERROR(__xludf.DUMMYFUNCTION("""COMPUTED_VALUE"""),"SEPTIEMBRE")</f>
        <v>SEPTIEMBRE</v>
      </c>
      <c r="T2" s="6" t="str">
        <f ca="1">IFERROR(__xludf.DUMMYFUNCTION("""COMPUTED_VALUE"""),"SUMATORIA TOTAL")</f>
        <v>SUMATORIA TOTAL</v>
      </c>
    </row>
    <row r="3" spans="1:20">
      <c r="A3" s="6" t="str">
        <f ca="1">IFERROR(__xludf.DUMMYFUNCTION("""COMPUTED_VALUE"""),"PRESIDENCIA")</f>
        <v>PRESIDENCIA</v>
      </c>
      <c r="B3" s="6" t="str">
        <f ca="1">IFERROR(__xludf.DUMMYFUNCTION("""COMPUTED_VALUE"""),"CITAS AGENDADAS")</f>
        <v>CITAS AGENDADAS</v>
      </c>
      <c r="C3" s="6">
        <f ca="1">IFERROR(__xludf.DUMMYFUNCTION("""COMPUTED_VALUE"""),310)</f>
        <v>310</v>
      </c>
      <c r="D3" s="6" t="str">
        <f ca="1">IFERROR(__xludf.DUMMYFUNCTION("""COMPUTED_VALUE"""),"CITA")</f>
        <v>CITA</v>
      </c>
      <c r="E3" s="6" t="str">
        <f ca="1">IFERROR(__xludf.DUMMYFUNCTION("""COMPUTED_VALUE"""),"ASCENDENTE")</f>
        <v>ASCENDENTE</v>
      </c>
      <c r="F3" s="6" t="str">
        <f ca="1">IFERROR(__xludf.DUMMYFUNCTION("""COMPUTED_VALUE"""),"BITACORA DE ATENCION")</f>
        <v>BITACORA DE ATENCION</v>
      </c>
      <c r="G3" s="6">
        <f ca="1">IFERROR(__xludf.DUMMYFUNCTION("""COMPUTED_VALUE"""),98.3870967741935)</f>
        <v>98.387096774193495</v>
      </c>
      <c r="H3" s="6">
        <f ca="1">IFERROR(__xludf.DUMMYFUNCTION("""COMPUTED_VALUE"""),20)</f>
        <v>20</v>
      </c>
      <c r="I3" s="6">
        <f ca="1">IFERROR(__xludf.DUMMYFUNCTION("""COMPUTED_VALUE"""),33)</f>
        <v>33</v>
      </c>
      <c r="J3" s="6">
        <f ca="1">IFERROR(__xludf.DUMMYFUNCTION("""COMPUTED_VALUE"""),27)</f>
        <v>27</v>
      </c>
      <c r="K3" s="6">
        <f ca="1">IFERROR(__xludf.DUMMYFUNCTION("""COMPUTED_VALUE"""),30)</f>
        <v>30</v>
      </c>
      <c r="L3" s="6">
        <f ca="1">IFERROR(__xludf.DUMMYFUNCTION("""COMPUTED_VALUE"""),22)</f>
        <v>22</v>
      </c>
      <c r="M3" s="6">
        <f ca="1">IFERROR(__xludf.DUMMYFUNCTION("""COMPUTED_VALUE"""),23)</f>
        <v>23</v>
      </c>
      <c r="N3" s="6">
        <f ca="1">IFERROR(__xludf.DUMMYFUNCTION("""COMPUTED_VALUE"""),17)</f>
        <v>17</v>
      </c>
      <c r="O3" s="6">
        <f ca="1">IFERROR(__xludf.DUMMYFUNCTION("""COMPUTED_VALUE"""),54)</f>
        <v>54</v>
      </c>
      <c r="P3" s="6">
        <f ca="1">IFERROR(__xludf.DUMMYFUNCTION("""COMPUTED_VALUE"""),19)</f>
        <v>19</v>
      </c>
      <c r="Q3" s="6">
        <f ca="1">IFERROR(__xludf.DUMMYFUNCTION("""COMPUTED_VALUE"""),60)</f>
        <v>60</v>
      </c>
      <c r="R3" s="6">
        <f ca="1">IFERROR(__xludf.DUMMYFUNCTION("""COMPUTED_VALUE"""),0)</f>
        <v>0</v>
      </c>
      <c r="S3" s="6">
        <f ca="1">IFERROR(__xludf.DUMMYFUNCTION("""COMPUTED_VALUE"""),0)</f>
        <v>0</v>
      </c>
      <c r="T3" s="6">
        <f ca="1">IFERROR(__xludf.DUMMYFUNCTION("""COMPUTED_VALUE"""),305)</f>
        <v>305</v>
      </c>
    </row>
    <row r="4" spans="1:20">
      <c r="A4" s="6"/>
      <c r="B4" s="6" t="str">
        <f ca="1">IFERROR(__xludf.DUMMYFUNCTION("""COMPUTED_VALUE"""),"PERSONAS ATENDIDAS")</f>
        <v>PERSONAS ATENDIDAS</v>
      </c>
      <c r="C4" s="6">
        <f ca="1">IFERROR(__xludf.DUMMYFUNCTION("""COMPUTED_VALUE"""),890)</f>
        <v>890</v>
      </c>
      <c r="D4" s="6" t="str">
        <f ca="1">IFERROR(__xludf.DUMMYFUNCTION("""COMPUTED_VALUE"""),"NÚM. DE PERSONAS")</f>
        <v>NÚM. DE PERSONAS</v>
      </c>
      <c r="E4" s="6" t="str">
        <f ca="1">IFERROR(__xludf.DUMMYFUNCTION("""COMPUTED_VALUE"""),"ASCENDENTE")</f>
        <v>ASCENDENTE</v>
      </c>
      <c r="F4" s="6" t="str">
        <f ca="1">IFERROR(__xludf.DUMMYFUNCTION("""COMPUTED_VALUE"""),"BITACORA DE ATENCION")</f>
        <v>BITACORA DE ATENCION</v>
      </c>
      <c r="G4" s="6">
        <f ca="1">IFERROR(__xludf.DUMMYFUNCTION("""COMPUTED_VALUE"""),97.3033707865168)</f>
        <v>97.303370786516794</v>
      </c>
      <c r="H4" s="6">
        <f ca="1">IFERROR(__xludf.DUMMYFUNCTION("""COMPUTED_VALUE"""),45)</f>
        <v>45</v>
      </c>
      <c r="I4" s="6">
        <f ca="1">IFERROR(__xludf.DUMMYFUNCTION("""COMPUTED_VALUE"""),80)</f>
        <v>80</v>
      </c>
      <c r="J4" s="6">
        <f ca="1">IFERROR(__xludf.DUMMYFUNCTION("""COMPUTED_VALUE"""),60)</f>
        <v>60</v>
      </c>
      <c r="K4" s="6">
        <f ca="1">IFERROR(__xludf.DUMMYFUNCTION("""COMPUTED_VALUE"""),50)</f>
        <v>50</v>
      </c>
      <c r="L4" s="6">
        <f ca="1">IFERROR(__xludf.DUMMYFUNCTION("""COMPUTED_VALUE"""),52)</f>
        <v>52</v>
      </c>
      <c r="M4" s="6">
        <f ca="1">IFERROR(__xludf.DUMMYFUNCTION("""COMPUTED_VALUE"""),42)</f>
        <v>42</v>
      </c>
      <c r="N4" s="6">
        <f ca="1">IFERROR(__xludf.DUMMYFUNCTION("""COMPUTED_VALUE"""),58)</f>
        <v>58</v>
      </c>
      <c r="O4" s="6">
        <f ca="1">IFERROR(__xludf.DUMMYFUNCTION("""COMPUTED_VALUE"""),201)</f>
        <v>201</v>
      </c>
      <c r="P4" s="6">
        <f ca="1">IFERROR(__xludf.DUMMYFUNCTION("""COMPUTED_VALUE"""),38)</f>
        <v>38</v>
      </c>
      <c r="Q4" s="6">
        <f ca="1">IFERROR(__xludf.DUMMYFUNCTION("""COMPUTED_VALUE"""),240)</f>
        <v>240</v>
      </c>
      <c r="R4" s="6">
        <f ca="1">IFERROR(__xludf.DUMMYFUNCTION("""COMPUTED_VALUE"""),0)</f>
        <v>0</v>
      </c>
      <c r="S4" s="6">
        <f ca="1">IFERROR(__xludf.DUMMYFUNCTION("""COMPUTED_VALUE"""),0)</f>
        <v>0</v>
      </c>
      <c r="T4" s="6">
        <f ca="1">IFERROR(__xludf.DUMMYFUNCTION("""COMPUTED_VALUE"""),866)</f>
        <v>866</v>
      </c>
    </row>
    <row r="5" spans="1:20">
      <c r="A5" s="6" t="str">
        <f ca="1">IFERROR(__xludf.DUMMYFUNCTION("""COMPUTED_VALUE"""),"ASUNTOS DEL INTERIOR")</f>
        <v>ASUNTOS DEL INTERIOR</v>
      </c>
      <c r="B5" s="6" t="str">
        <f ca="1">IFERROR(__xludf.DUMMYFUNCTION("""COMPUTED_VALUE"""),"PERSONAS ATENDIDAS")</f>
        <v>PERSONAS ATENDIDAS</v>
      </c>
      <c r="C5" s="6">
        <f ca="1">IFERROR(__xludf.DUMMYFUNCTION("""COMPUTED_VALUE"""),250)</f>
        <v>250</v>
      </c>
      <c r="D5" s="6" t="str">
        <f ca="1">IFERROR(__xludf.DUMMYFUNCTION("""COMPUTED_VALUE"""),"NUM. PERSONAS")</f>
        <v>NUM. PERSONAS</v>
      </c>
      <c r="E5" s="6" t="str">
        <f ca="1">IFERROR(__xludf.DUMMYFUNCTION("""COMPUTED_VALUE"""),"ASCENDENTE")</f>
        <v>ASCENDENTE</v>
      </c>
      <c r="F5" s="6" t="str">
        <f ca="1">IFERROR(__xludf.DUMMYFUNCTION("""COMPUTED_VALUE"""),"BITACORA DE ATENCION")</f>
        <v>BITACORA DE ATENCION</v>
      </c>
      <c r="G5" s="6">
        <f ca="1">IFERROR(__xludf.DUMMYFUNCTION("""COMPUTED_VALUE"""),90.8)</f>
        <v>90.8</v>
      </c>
      <c r="H5" s="6">
        <f ca="1">IFERROR(__xludf.DUMMYFUNCTION("""COMPUTED_VALUE"""),20)</f>
        <v>20</v>
      </c>
      <c r="I5" s="6">
        <f ca="1">IFERROR(__xludf.DUMMYFUNCTION("""COMPUTED_VALUE"""),22)</f>
        <v>22</v>
      </c>
      <c r="J5" s="6">
        <f ca="1">IFERROR(__xludf.DUMMYFUNCTION("""COMPUTED_VALUE"""),15)</f>
        <v>15</v>
      </c>
      <c r="K5" s="6">
        <f ca="1">IFERROR(__xludf.DUMMYFUNCTION("""COMPUTED_VALUE"""),25)</f>
        <v>25</v>
      </c>
      <c r="L5" s="6">
        <f ca="1">IFERROR(__xludf.DUMMYFUNCTION("""COMPUTED_VALUE"""),31)</f>
        <v>31</v>
      </c>
      <c r="M5" s="6">
        <f ca="1">IFERROR(__xludf.DUMMYFUNCTION("""COMPUTED_VALUE"""),25)</f>
        <v>25</v>
      </c>
      <c r="N5" s="6">
        <f ca="1">IFERROR(__xludf.DUMMYFUNCTION("""COMPUTED_VALUE"""),34)</f>
        <v>34</v>
      </c>
      <c r="O5" s="6">
        <f ca="1">IFERROR(__xludf.DUMMYFUNCTION("""COMPUTED_VALUE"""),35)</f>
        <v>35</v>
      </c>
      <c r="P5" s="6">
        <f ca="1">IFERROR(__xludf.DUMMYFUNCTION("""COMPUTED_VALUE"""),20)</f>
        <v>20</v>
      </c>
      <c r="Q5" s="6">
        <f ca="1">IFERROR(__xludf.DUMMYFUNCTION("""COMPUTED_VALUE"""),0)</f>
        <v>0</v>
      </c>
      <c r="R5" s="6">
        <f ca="1">IFERROR(__xludf.DUMMYFUNCTION("""COMPUTED_VALUE"""),0)</f>
        <v>0</v>
      </c>
      <c r="S5" s="6">
        <f ca="1">IFERROR(__xludf.DUMMYFUNCTION("""COMPUTED_VALUE"""),0)</f>
        <v>0</v>
      </c>
      <c r="T5" s="6">
        <f ca="1">IFERROR(__xludf.DUMMYFUNCTION("""COMPUTED_VALUE"""),227)</f>
        <v>227</v>
      </c>
    </row>
    <row r="6" spans="1:20">
      <c r="A6" s="6"/>
      <c r="B6" s="6" t="str">
        <f ca="1">IFERROR(__xludf.DUMMYFUNCTION("""COMPUTED_VALUE"""),"ACUERDOS ")</f>
        <v xml:space="preserve">ACUERDOS </v>
      </c>
      <c r="C6" s="6">
        <f ca="1">IFERROR(__xludf.DUMMYFUNCTION("""COMPUTED_VALUE"""),85)</f>
        <v>85</v>
      </c>
      <c r="D6" s="6" t="str">
        <f ca="1">IFERROR(__xludf.DUMMYFUNCTION("""COMPUTED_VALUE"""),"NÚM. ACUERDOS")</f>
        <v>NÚM. ACUERDOS</v>
      </c>
      <c r="E6" s="6" t="str">
        <f ca="1">IFERROR(__xludf.DUMMYFUNCTION("""COMPUTED_VALUE"""),"ASCENDENTE")</f>
        <v>ASCENDENTE</v>
      </c>
      <c r="F6" s="6" t="str">
        <f ca="1">IFERROR(__xludf.DUMMYFUNCTION("""COMPUTED_VALUE"""),"MINUTA DE REUNION")</f>
        <v>MINUTA DE REUNION</v>
      </c>
      <c r="G6" s="6">
        <f ca="1">IFERROR(__xludf.DUMMYFUNCTION("""COMPUTED_VALUE"""),88.235294117647)</f>
        <v>88.235294117647001</v>
      </c>
      <c r="H6" s="6">
        <f ca="1">IFERROR(__xludf.DUMMYFUNCTION("""COMPUTED_VALUE"""),15)</f>
        <v>15</v>
      </c>
      <c r="I6" s="6">
        <f ca="1">IFERROR(__xludf.DUMMYFUNCTION("""COMPUTED_VALUE"""),8)</f>
        <v>8</v>
      </c>
      <c r="J6" s="6">
        <f ca="1">IFERROR(__xludf.DUMMYFUNCTION("""COMPUTED_VALUE"""),5)</f>
        <v>5</v>
      </c>
      <c r="K6" s="6">
        <f ca="1">IFERROR(__xludf.DUMMYFUNCTION("""COMPUTED_VALUE"""),8)</f>
        <v>8</v>
      </c>
      <c r="L6" s="6">
        <f ca="1">IFERROR(__xludf.DUMMYFUNCTION("""COMPUTED_VALUE"""),4)</f>
        <v>4</v>
      </c>
      <c r="M6" s="6">
        <f ca="1">IFERROR(__xludf.DUMMYFUNCTION("""COMPUTED_VALUE"""),6)</f>
        <v>6</v>
      </c>
      <c r="N6" s="6">
        <f ca="1">IFERROR(__xludf.DUMMYFUNCTION("""COMPUTED_VALUE"""),12)</f>
        <v>12</v>
      </c>
      <c r="O6" s="6">
        <f ca="1">IFERROR(__xludf.DUMMYFUNCTION("""COMPUTED_VALUE"""),11)</f>
        <v>11</v>
      </c>
      <c r="P6" s="6">
        <f ca="1">IFERROR(__xludf.DUMMYFUNCTION("""COMPUTED_VALUE"""),6)</f>
        <v>6</v>
      </c>
      <c r="Q6" s="6">
        <f ca="1">IFERROR(__xludf.DUMMYFUNCTION("""COMPUTED_VALUE"""),0)</f>
        <v>0</v>
      </c>
      <c r="R6" s="6">
        <f ca="1">IFERROR(__xludf.DUMMYFUNCTION("""COMPUTED_VALUE"""),0)</f>
        <v>0</v>
      </c>
      <c r="S6" s="6">
        <f ca="1">IFERROR(__xludf.DUMMYFUNCTION("""COMPUTED_VALUE"""),0)</f>
        <v>0</v>
      </c>
      <c r="T6" s="6">
        <f ca="1">IFERROR(__xludf.DUMMYFUNCTION("""COMPUTED_VALUE"""),75)</f>
        <v>75</v>
      </c>
    </row>
    <row r="7" spans="1:20">
      <c r="A7" s="6" t="str">
        <f ca="1">IFERROR(__xludf.DUMMYFUNCTION("""COMPUTED_VALUE"""),"TRANSPARENCIA")</f>
        <v>TRANSPARENCIA</v>
      </c>
      <c r="B7" s="6" t="str">
        <f ca="1">IFERROR(__xludf.DUMMYFUNCTION("""COMPUTED_VALUE"""),"SOLICITUDES DE INFORMACION ATENDIDAS")</f>
        <v>SOLICITUDES DE INFORMACION ATENDIDAS</v>
      </c>
      <c r="C7" s="6">
        <f ca="1">IFERROR(__xludf.DUMMYFUNCTION("""COMPUTED_VALUE"""),490)</f>
        <v>490</v>
      </c>
      <c r="D7" s="6" t="str">
        <f ca="1">IFERROR(__xludf.DUMMYFUNCTION("""COMPUTED_VALUE"""),"NÚM. DE SOLICITUDES")</f>
        <v>NÚM. DE SOLICITUDES</v>
      </c>
      <c r="E7" s="6" t="str">
        <f ca="1">IFERROR(__xludf.DUMMYFUNCTION("""COMPUTED_VALUE"""),"ASCENDENTE")</f>
        <v>ASCENDENTE</v>
      </c>
      <c r="F7" s="6" t="str">
        <f ca="1">IFERROR(__xludf.DUMMYFUNCTION("""COMPUTED_VALUE"""),"PNT")</f>
        <v>PNT</v>
      </c>
      <c r="G7" s="6">
        <f ca="1">IFERROR(__xludf.DUMMYFUNCTION("""COMPUTED_VALUE"""),84.8979591836734)</f>
        <v>84.897959183673393</v>
      </c>
      <c r="H7" s="6">
        <f ca="1">IFERROR(__xludf.DUMMYFUNCTION("""COMPUTED_VALUE"""),41)</f>
        <v>41</v>
      </c>
      <c r="I7" s="6">
        <f ca="1">IFERROR(__xludf.DUMMYFUNCTION("""COMPUTED_VALUE"""),60)</f>
        <v>60</v>
      </c>
      <c r="J7" s="6">
        <f ca="1">IFERROR(__xludf.DUMMYFUNCTION("""COMPUTED_VALUE"""),39)</f>
        <v>39</v>
      </c>
      <c r="K7" s="6">
        <f ca="1">IFERROR(__xludf.DUMMYFUNCTION("""COMPUTED_VALUE"""),52)</f>
        <v>52</v>
      </c>
      <c r="L7" s="6">
        <f ca="1">IFERROR(__xludf.DUMMYFUNCTION("""COMPUTED_VALUE"""),56)</f>
        <v>56</v>
      </c>
      <c r="M7" s="6">
        <f ca="1">IFERROR(__xludf.DUMMYFUNCTION("""COMPUTED_VALUE"""),63)</f>
        <v>63</v>
      </c>
      <c r="N7" s="6">
        <f ca="1">IFERROR(__xludf.DUMMYFUNCTION("""COMPUTED_VALUE"""),30)</f>
        <v>30</v>
      </c>
      <c r="O7" s="6">
        <f ca="1">IFERROR(__xludf.DUMMYFUNCTION("""COMPUTED_VALUE"""),42)</f>
        <v>42</v>
      </c>
      <c r="P7" s="6">
        <f ca="1">IFERROR(__xludf.DUMMYFUNCTION("""COMPUTED_VALUE"""),33)</f>
        <v>33</v>
      </c>
      <c r="Q7" s="6">
        <f ca="1">IFERROR(__xludf.DUMMYFUNCTION("""COMPUTED_VALUE"""),0)</f>
        <v>0</v>
      </c>
      <c r="R7" s="6">
        <f ca="1">IFERROR(__xludf.DUMMYFUNCTION("""COMPUTED_VALUE"""),0)</f>
        <v>0</v>
      </c>
      <c r="S7" s="6">
        <f ca="1">IFERROR(__xludf.DUMMYFUNCTION("""COMPUTED_VALUE"""),0)</f>
        <v>0</v>
      </c>
      <c r="T7" s="6">
        <f ca="1">IFERROR(__xludf.DUMMYFUNCTION("""COMPUTED_VALUE"""),416)</f>
        <v>416</v>
      </c>
    </row>
    <row r="8" spans="1:20">
      <c r="A8" s="6"/>
      <c r="B8" s="6" t="str">
        <f ca="1">IFERROR(__xludf.DUMMYFUNCTION("""COMPUTED_VALUE"""),"CAPACITACIONES TRANSPARENCIA")</f>
        <v>CAPACITACIONES TRANSPARENCIA</v>
      </c>
      <c r="C8" s="6">
        <f ca="1">IFERROR(__xludf.DUMMYFUNCTION("""COMPUTED_VALUE"""),12)</f>
        <v>12</v>
      </c>
      <c r="D8" s="6" t="str">
        <f ca="1">IFERROR(__xludf.DUMMYFUNCTION("""COMPUTED_VALUE"""),"NÚM. DE CAPACITACIONES")</f>
        <v>NÚM. DE CAPACITACIONES</v>
      </c>
      <c r="E8" s="6" t="str">
        <f ca="1">IFERROR(__xludf.DUMMYFUNCTION("""COMPUTED_VALUE"""),"ASCENDENTE")</f>
        <v>ASCENDENTE</v>
      </c>
      <c r="F8" s="6" t="str">
        <f ca="1">IFERROR(__xludf.DUMMYFUNCTION("""COMPUTED_VALUE"""),"PROGRAMA ANUAL DE CAPACITACIONES")</f>
        <v>PROGRAMA ANUAL DE CAPACITACIONES</v>
      </c>
      <c r="G8" s="6">
        <f ca="1">IFERROR(__xludf.DUMMYFUNCTION("""COMPUTED_VALUE"""),83.3333333333333)</f>
        <v>83.3333333333333</v>
      </c>
      <c r="H8" s="6">
        <f ca="1">IFERROR(__xludf.DUMMYFUNCTION("""COMPUTED_VALUE"""),1)</f>
        <v>1</v>
      </c>
      <c r="I8" s="6">
        <f ca="1">IFERROR(__xludf.DUMMYFUNCTION("""COMPUTED_VALUE"""),1)</f>
        <v>1</v>
      </c>
      <c r="J8" s="6">
        <f ca="1">IFERROR(__xludf.DUMMYFUNCTION("""COMPUTED_VALUE"""),1)</f>
        <v>1</v>
      </c>
      <c r="K8" s="6">
        <f ca="1">IFERROR(__xludf.DUMMYFUNCTION("""COMPUTED_VALUE"""),1)</f>
        <v>1</v>
      </c>
      <c r="L8" s="6">
        <f ca="1">IFERROR(__xludf.DUMMYFUNCTION("""COMPUTED_VALUE"""),1)</f>
        <v>1</v>
      </c>
      <c r="M8" s="6">
        <f ca="1">IFERROR(__xludf.DUMMYFUNCTION("""COMPUTED_VALUE"""),1)</f>
        <v>1</v>
      </c>
      <c r="N8" s="6">
        <f ca="1">IFERROR(__xludf.DUMMYFUNCTION("""COMPUTED_VALUE"""),1)</f>
        <v>1</v>
      </c>
      <c r="O8" s="6">
        <f ca="1">IFERROR(__xludf.DUMMYFUNCTION("""COMPUTED_VALUE"""),2)</f>
        <v>2</v>
      </c>
      <c r="P8" s="6">
        <f ca="1">IFERROR(__xludf.DUMMYFUNCTION("""COMPUTED_VALUE"""),1)</f>
        <v>1</v>
      </c>
      <c r="Q8" s="6">
        <f ca="1">IFERROR(__xludf.DUMMYFUNCTION("""COMPUTED_VALUE"""),0)</f>
        <v>0</v>
      </c>
      <c r="R8" s="6">
        <f ca="1">IFERROR(__xludf.DUMMYFUNCTION("""COMPUTED_VALUE"""),0)</f>
        <v>0</v>
      </c>
      <c r="S8" s="6">
        <f ca="1">IFERROR(__xludf.DUMMYFUNCTION("""COMPUTED_VALUE"""),0)</f>
        <v>0</v>
      </c>
      <c r="T8" s="6">
        <f ca="1">IFERROR(__xludf.DUMMYFUNCTION("""COMPUTED_VALUE"""),10)</f>
        <v>10</v>
      </c>
    </row>
    <row r="9" spans="1:20">
      <c r="A9" s="6" t="str">
        <f ca="1">IFERROR(__xludf.DUMMYFUNCTION("""COMPUTED_VALUE"""),"COMUNICACIÓN SOCIAL")</f>
        <v>COMUNICACIÓN SOCIAL</v>
      </c>
      <c r="B9" s="6" t="str">
        <f ca="1">IFERROR(__xludf.DUMMYFUNCTION("""COMPUTED_VALUE"""),"NOTAS (COBERTURA DE EVENTOS)")</f>
        <v>NOTAS (COBERTURA DE EVENTOS)</v>
      </c>
      <c r="C9" s="6">
        <f ca="1">IFERROR(__xludf.DUMMYFUNCTION("""COMPUTED_VALUE"""),430)</f>
        <v>430</v>
      </c>
      <c r="D9" s="6" t="str">
        <f ca="1">IFERROR(__xludf.DUMMYFUNCTION("""COMPUTED_VALUE"""),"NÚM. DE NOTAS PUBLICADAS")</f>
        <v>NÚM. DE NOTAS PUBLICADAS</v>
      </c>
      <c r="E9" s="6" t="str">
        <f ca="1">IFERROR(__xludf.DUMMYFUNCTION("""COMPUTED_VALUE"""),"ASCENDENTE")</f>
        <v>ASCENDENTE</v>
      </c>
      <c r="F9" s="6" t="str">
        <f ca="1">IFERROR(__xludf.DUMMYFUNCTION("""COMPUTED_VALUE"""),"BITACORA OPERATIVA")</f>
        <v>BITACORA OPERATIVA</v>
      </c>
      <c r="G9" s="6">
        <f ca="1">IFERROR(__xludf.DUMMYFUNCTION("""COMPUTED_VALUE"""),87.4418604651162)</f>
        <v>87.441860465116207</v>
      </c>
      <c r="H9" s="6">
        <f ca="1">IFERROR(__xludf.DUMMYFUNCTION("""COMPUTED_VALUE"""),35)</f>
        <v>35</v>
      </c>
      <c r="I9" s="6">
        <f ca="1">IFERROR(__xludf.DUMMYFUNCTION("""COMPUTED_VALUE"""),42)</f>
        <v>42</v>
      </c>
      <c r="J9" s="6">
        <f ca="1">IFERROR(__xludf.DUMMYFUNCTION("""COMPUTED_VALUE"""),39)</f>
        <v>39</v>
      </c>
      <c r="K9" s="6">
        <f ca="1">IFERROR(__xludf.DUMMYFUNCTION("""COMPUTED_VALUE"""),39)</f>
        <v>39</v>
      </c>
      <c r="L9" s="6">
        <f ca="1">IFERROR(__xludf.DUMMYFUNCTION("""COMPUTED_VALUE"""),48)</f>
        <v>48</v>
      </c>
      <c r="M9" s="6">
        <f ca="1">IFERROR(__xludf.DUMMYFUNCTION("""COMPUTED_VALUE"""),38)</f>
        <v>38</v>
      </c>
      <c r="N9" s="6">
        <f ca="1">IFERROR(__xludf.DUMMYFUNCTION("""COMPUTED_VALUE"""),37)</f>
        <v>37</v>
      </c>
      <c r="O9" s="6">
        <f ca="1">IFERROR(__xludf.DUMMYFUNCTION("""COMPUTED_VALUE"""),45)</f>
        <v>45</v>
      </c>
      <c r="P9" s="6">
        <f ca="1">IFERROR(__xludf.DUMMYFUNCTION("""COMPUTED_VALUE"""),53)</f>
        <v>53</v>
      </c>
      <c r="Q9" s="6">
        <f ca="1">IFERROR(__xludf.DUMMYFUNCTION("""COMPUTED_VALUE"""),0)</f>
        <v>0</v>
      </c>
      <c r="R9" s="6">
        <f ca="1">IFERROR(__xludf.DUMMYFUNCTION("""COMPUTED_VALUE"""),0)</f>
        <v>0</v>
      </c>
      <c r="S9" s="6">
        <f ca="1">IFERROR(__xludf.DUMMYFUNCTION("""COMPUTED_VALUE"""),0)</f>
        <v>0</v>
      </c>
      <c r="T9" s="6">
        <f ca="1">IFERROR(__xludf.DUMMYFUNCTION("""COMPUTED_VALUE"""),376)</f>
        <v>376</v>
      </c>
    </row>
    <row r="10" spans="1:20">
      <c r="A10" s="6"/>
      <c r="B10" s="6" t="str">
        <f ca="1">IFERROR(__xludf.DUMMYFUNCTION("""COMPUTED_VALUE"""),"DISEÑOS")</f>
        <v>DISEÑOS</v>
      </c>
      <c r="C10" s="6">
        <f ca="1">IFERROR(__xludf.DUMMYFUNCTION("""COMPUTED_VALUE"""),950)</f>
        <v>950</v>
      </c>
      <c r="D10" s="6" t="str">
        <f ca="1">IFERROR(__xludf.DUMMYFUNCTION("""COMPUTED_VALUE"""),"NÚM. DE DISEÑOS REALIZADOS")</f>
        <v>NÚM. DE DISEÑOS REALIZADOS</v>
      </c>
      <c r="E10" s="6" t="str">
        <f ca="1">IFERROR(__xludf.DUMMYFUNCTION("""COMPUTED_VALUE"""),"ASCENDENTE")</f>
        <v>ASCENDENTE</v>
      </c>
      <c r="F10" s="6" t="str">
        <f ca="1">IFERROR(__xludf.DUMMYFUNCTION("""COMPUTED_VALUE"""),"BITACORA OPERATIVA")</f>
        <v>BITACORA OPERATIVA</v>
      </c>
      <c r="G10" s="6">
        <f ca="1">IFERROR(__xludf.DUMMYFUNCTION("""COMPUTED_VALUE"""),89.6842105263158)</f>
        <v>89.684210526315795</v>
      </c>
      <c r="H10" s="6">
        <f ca="1">IFERROR(__xludf.DUMMYFUNCTION("""COMPUTED_VALUE"""),50)</f>
        <v>50</v>
      </c>
      <c r="I10" s="6">
        <f ca="1">IFERROR(__xludf.DUMMYFUNCTION("""COMPUTED_VALUE"""),72)</f>
        <v>72</v>
      </c>
      <c r="J10" s="6">
        <f ca="1">IFERROR(__xludf.DUMMYFUNCTION("""COMPUTED_VALUE"""),69)</f>
        <v>69</v>
      </c>
      <c r="K10" s="6">
        <f ca="1">IFERROR(__xludf.DUMMYFUNCTION("""COMPUTED_VALUE"""),172)</f>
        <v>172</v>
      </c>
      <c r="L10" s="6">
        <f ca="1">IFERROR(__xludf.DUMMYFUNCTION("""COMPUTED_VALUE"""),140)</f>
        <v>140</v>
      </c>
      <c r="M10" s="6">
        <f ca="1">IFERROR(__xludf.DUMMYFUNCTION("""COMPUTED_VALUE"""),142)</f>
        <v>142</v>
      </c>
      <c r="N10" s="6">
        <f ca="1">IFERROR(__xludf.DUMMYFUNCTION("""COMPUTED_VALUE"""),76)</f>
        <v>76</v>
      </c>
      <c r="O10" s="6">
        <f ca="1">IFERROR(__xludf.DUMMYFUNCTION("""COMPUTED_VALUE"""),58)</f>
        <v>58</v>
      </c>
      <c r="P10" s="6">
        <f ca="1">IFERROR(__xludf.DUMMYFUNCTION("""COMPUTED_VALUE"""),73)</f>
        <v>73</v>
      </c>
      <c r="Q10" s="6">
        <f ca="1">IFERROR(__xludf.DUMMYFUNCTION("""COMPUTED_VALUE"""),0)</f>
        <v>0</v>
      </c>
      <c r="R10" s="6">
        <f ca="1">IFERROR(__xludf.DUMMYFUNCTION("""COMPUTED_VALUE"""),0)</f>
        <v>0</v>
      </c>
      <c r="S10" s="6">
        <f ca="1">IFERROR(__xludf.DUMMYFUNCTION("""COMPUTED_VALUE"""),0)</f>
        <v>0</v>
      </c>
      <c r="T10" s="6">
        <f ca="1">IFERROR(__xludf.DUMMYFUNCTION("""COMPUTED_VALUE"""),852)</f>
        <v>852</v>
      </c>
    </row>
    <row r="11" spans="1:20">
      <c r="A11" s="6"/>
      <c r="B11" s="6" t="str">
        <f ca="1">IFERROR(__xludf.DUMMYFUNCTION("""COMPUTED_VALUE"""),"PUBLICACIONES")</f>
        <v>PUBLICACIONES</v>
      </c>
      <c r="C11" s="6">
        <f ca="1">IFERROR(__xludf.DUMMYFUNCTION("""COMPUTED_VALUE"""),1100)</f>
        <v>1100</v>
      </c>
      <c r="D11" s="6" t="str">
        <f ca="1">IFERROR(__xludf.DUMMYFUNCTION("""COMPUTED_VALUE"""),"NÚM. DE PUBLICCIONES")</f>
        <v>NÚM. DE PUBLICCIONES</v>
      </c>
      <c r="E11" s="6" t="str">
        <f ca="1">IFERROR(__xludf.DUMMYFUNCTION("""COMPUTED_VALUE"""),"ASCENDENTE")</f>
        <v>ASCENDENTE</v>
      </c>
      <c r="F11" s="6" t="str">
        <f ca="1">IFERROR(__xludf.DUMMYFUNCTION("""COMPUTED_VALUE"""),"BITACORA OPERATIVA")</f>
        <v>BITACORA OPERATIVA</v>
      </c>
      <c r="G11" s="6">
        <f ca="1">IFERROR(__xludf.DUMMYFUNCTION("""COMPUTED_VALUE"""),89.3636363636363)</f>
        <v>89.363636363636303</v>
      </c>
      <c r="H11" s="6">
        <f ca="1">IFERROR(__xludf.DUMMYFUNCTION("""COMPUTED_VALUE"""),114)</f>
        <v>114</v>
      </c>
      <c r="I11" s="6">
        <f ca="1">IFERROR(__xludf.DUMMYFUNCTION("""COMPUTED_VALUE"""),150)</f>
        <v>150</v>
      </c>
      <c r="J11" s="6">
        <f ca="1">IFERROR(__xludf.DUMMYFUNCTION("""COMPUTED_VALUE"""),163)</f>
        <v>163</v>
      </c>
      <c r="K11" s="6">
        <f ca="1">IFERROR(__xludf.DUMMYFUNCTION("""COMPUTED_VALUE"""),1)</f>
        <v>1</v>
      </c>
      <c r="L11" s="6">
        <f ca="1">IFERROR(__xludf.DUMMYFUNCTION("""COMPUTED_VALUE"""),2)</f>
        <v>2</v>
      </c>
      <c r="M11" s="6">
        <f ca="1">IFERROR(__xludf.DUMMYFUNCTION("""COMPUTED_VALUE"""),2)</f>
        <v>2</v>
      </c>
      <c r="N11" s="6">
        <f ca="1">IFERROR(__xludf.DUMMYFUNCTION("""COMPUTED_VALUE"""),155)</f>
        <v>155</v>
      </c>
      <c r="O11" s="6">
        <f ca="1">IFERROR(__xludf.DUMMYFUNCTION("""COMPUTED_VALUE"""),207)</f>
        <v>207</v>
      </c>
      <c r="P11" s="6">
        <f ca="1">IFERROR(__xludf.DUMMYFUNCTION("""COMPUTED_VALUE"""),189)</f>
        <v>189</v>
      </c>
      <c r="Q11" s="6">
        <f ca="1">IFERROR(__xludf.DUMMYFUNCTION("""COMPUTED_VALUE"""),0)</f>
        <v>0</v>
      </c>
      <c r="R11" s="6">
        <f ca="1">IFERROR(__xludf.DUMMYFUNCTION("""COMPUTED_VALUE"""),0)</f>
        <v>0</v>
      </c>
      <c r="S11" s="6">
        <f ca="1">IFERROR(__xludf.DUMMYFUNCTION("""COMPUTED_VALUE"""),0)</f>
        <v>0</v>
      </c>
      <c r="T11" s="6">
        <f ca="1">IFERROR(__xludf.DUMMYFUNCTION("""COMPUTED_VALUE"""),983)</f>
        <v>983</v>
      </c>
    </row>
    <row r="12" spans="1:20">
      <c r="A12" s="6" t="str">
        <f ca="1">IFERROR(__xludf.DUMMYFUNCTION("""COMPUTED_VALUE"""),"GESTION DE PROYECTOS")</f>
        <v>GESTION DE PROYECTOS</v>
      </c>
      <c r="B12" s="6" t="str">
        <f ca="1">IFERROR(__xludf.DUMMYFUNCTION("""COMPUTED_VALUE"""),"PROGRAMAS IMPLEMENTADOS")</f>
        <v>PROGRAMAS IMPLEMENTADOS</v>
      </c>
      <c r="C12" s="6">
        <f ca="1">IFERROR(__xludf.DUMMYFUNCTION("""COMPUTED_VALUE"""),23)</f>
        <v>23</v>
      </c>
      <c r="D12" s="6" t="str">
        <f ca="1">IFERROR(__xludf.DUMMYFUNCTION("""COMPUTED_VALUE"""),"NÚM. DE PROGRAMAS IMPLEMENTADOS")</f>
        <v>NÚM. DE PROGRAMAS IMPLEMENTADOS</v>
      </c>
      <c r="E12" s="6" t="str">
        <f ca="1">IFERROR(__xludf.DUMMYFUNCTION("""COMPUTED_VALUE"""),"ASCENDENTE")</f>
        <v>ASCENDENTE</v>
      </c>
      <c r="F12" s="6" t="str">
        <f ca="1">IFERROR(__xludf.DUMMYFUNCTION("""COMPUTED_VALUE"""),"PADRON UNICO DE BENEFICIADOS")</f>
        <v>PADRON UNICO DE BENEFICIADOS</v>
      </c>
      <c r="G12" s="6">
        <f ca="1">IFERROR(__xludf.DUMMYFUNCTION("""COMPUTED_VALUE"""),91.3043478260869)</f>
        <v>91.304347826086897</v>
      </c>
      <c r="H12" s="6">
        <f ca="1">IFERROR(__xludf.DUMMYFUNCTION("""COMPUTED_VALUE"""),0)</f>
        <v>0</v>
      </c>
      <c r="I12" s="6">
        <f ca="1">IFERROR(__xludf.DUMMYFUNCTION("""COMPUTED_VALUE"""),0)</f>
        <v>0</v>
      </c>
      <c r="J12" s="6">
        <f ca="1">IFERROR(__xludf.DUMMYFUNCTION("""COMPUTED_VALUE"""),0)</f>
        <v>0</v>
      </c>
      <c r="K12" s="6">
        <f ca="1">IFERROR(__xludf.DUMMYFUNCTION("""COMPUTED_VALUE"""),2)</f>
        <v>2</v>
      </c>
      <c r="L12" s="6">
        <f ca="1">IFERROR(__xludf.DUMMYFUNCTION("""COMPUTED_VALUE"""),3)</f>
        <v>3</v>
      </c>
      <c r="M12" s="6">
        <f ca="1">IFERROR(__xludf.DUMMYFUNCTION("""COMPUTED_VALUE"""),2)</f>
        <v>2</v>
      </c>
      <c r="N12" s="6">
        <f ca="1">IFERROR(__xludf.DUMMYFUNCTION("""COMPUTED_VALUE"""),3)</f>
        <v>3</v>
      </c>
      <c r="O12" s="6">
        <f ca="1">IFERROR(__xludf.DUMMYFUNCTION("""COMPUTED_VALUE"""),5)</f>
        <v>5</v>
      </c>
      <c r="P12" s="6">
        <f ca="1">IFERROR(__xludf.DUMMYFUNCTION("""COMPUTED_VALUE"""),3)</f>
        <v>3</v>
      </c>
      <c r="Q12" s="6">
        <f ca="1">IFERROR(__xludf.DUMMYFUNCTION("""COMPUTED_VALUE"""),3)</f>
        <v>3</v>
      </c>
      <c r="R12" s="6">
        <f ca="1">IFERROR(__xludf.DUMMYFUNCTION("""COMPUTED_VALUE"""),0)</f>
        <v>0</v>
      </c>
      <c r="S12" s="6">
        <f ca="1">IFERROR(__xludf.DUMMYFUNCTION("""COMPUTED_VALUE"""),0)</f>
        <v>0</v>
      </c>
      <c r="T12" s="6">
        <f ca="1">IFERROR(__xludf.DUMMYFUNCTION("""COMPUTED_VALUE"""),21)</f>
        <v>21</v>
      </c>
    </row>
    <row r="13" spans="1:20">
      <c r="A13" s="6"/>
      <c r="B13" s="6" t="str">
        <f ca="1">IFERROR(__xludf.DUMMYFUNCTION("""COMPUTED_VALUE"""),"PERSONAS BENEFICIADAS")</f>
        <v>PERSONAS BENEFICIADAS</v>
      </c>
      <c r="C13" s="6">
        <f ca="1">IFERROR(__xludf.DUMMYFUNCTION("""COMPUTED_VALUE"""),2150)</f>
        <v>2150</v>
      </c>
      <c r="D13" s="6" t="str">
        <f ca="1">IFERROR(__xludf.DUMMYFUNCTION("""COMPUTED_VALUE"""),"NUM. PERSONAS")</f>
        <v>NUM. PERSONAS</v>
      </c>
      <c r="E13" s="6" t="str">
        <f ca="1">IFERROR(__xludf.DUMMYFUNCTION("""COMPUTED_VALUE"""),"ASCENDENTE")</f>
        <v>ASCENDENTE</v>
      </c>
      <c r="F13" s="6" t="str">
        <f ca="1">IFERROR(__xludf.DUMMYFUNCTION("""COMPUTED_VALUE"""),"PADRON UNICO DE BENEFICIADOS")</f>
        <v>PADRON UNICO DE BENEFICIADOS</v>
      </c>
      <c r="G13" s="6">
        <f ca="1">IFERROR(__xludf.DUMMYFUNCTION("""COMPUTED_VALUE"""),91.0232558139534)</f>
        <v>91.023255813953398</v>
      </c>
      <c r="H13" s="6">
        <f ca="1">IFERROR(__xludf.DUMMYFUNCTION("""COMPUTED_VALUE"""),0)</f>
        <v>0</v>
      </c>
      <c r="I13" s="6">
        <f ca="1">IFERROR(__xludf.DUMMYFUNCTION("""COMPUTED_VALUE"""),0)</f>
        <v>0</v>
      </c>
      <c r="J13" s="6">
        <f ca="1">IFERROR(__xludf.DUMMYFUNCTION("""COMPUTED_VALUE"""),0)</f>
        <v>0</v>
      </c>
      <c r="K13" s="6">
        <f ca="1">IFERROR(__xludf.DUMMYFUNCTION("""COMPUTED_VALUE"""),255)</f>
        <v>255</v>
      </c>
      <c r="L13" s="6">
        <f ca="1">IFERROR(__xludf.DUMMYFUNCTION("""COMPUTED_VALUE"""),272)</f>
        <v>272</v>
      </c>
      <c r="M13" s="6">
        <f ca="1">IFERROR(__xludf.DUMMYFUNCTION("""COMPUTED_VALUE"""),350)</f>
        <v>350</v>
      </c>
      <c r="N13" s="6">
        <f ca="1">IFERROR(__xludf.DUMMYFUNCTION("""COMPUTED_VALUE"""),253)</f>
        <v>253</v>
      </c>
      <c r="O13" s="6">
        <f ca="1">IFERROR(__xludf.DUMMYFUNCTION("""COMPUTED_VALUE"""),326)</f>
        <v>326</v>
      </c>
      <c r="P13" s="6">
        <f ca="1">IFERROR(__xludf.DUMMYFUNCTION("""COMPUTED_VALUE"""),250)</f>
        <v>250</v>
      </c>
      <c r="Q13" s="6">
        <f ca="1">IFERROR(__xludf.DUMMYFUNCTION("""COMPUTED_VALUE"""),251)</f>
        <v>251</v>
      </c>
      <c r="R13" s="6">
        <f ca="1">IFERROR(__xludf.DUMMYFUNCTION("""COMPUTED_VALUE"""),0)</f>
        <v>0</v>
      </c>
      <c r="S13" s="6">
        <f ca="1">IFERROR(__xludf.DUMMYFUNCTION("""COMPUTED_VALUE"""),0)</f>
        <v>0</v>
      </c>
      <c r="T13" s="6">
        <f ca="1">IFERROR(__xludf.DUMMYFUNCTION("""COMPUTED_VALUE"""),1957)</f>
        <v>1957</v>
      </c>
    </row>
    <row r="14" spans="1:2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ADE-3FA3-4E4E-964A-25D529784044}">
  <sheetPr codeName="Hoja6">
    <tabColor rgb="FF385623"/>
  </sheetPr>
  <dimension ref="A1:J27"/>
  <sheetViews>
    <sheetView showGridLines="0" topLeftCell="D1" workbookViewId="0">
      <selection activeCell="H3" sqref="H3:J3"/>
    </sheetView>
  </sheetViews>
  <sheetFormatPr baseColWidth="10" defaultColWidth="11.125" defaultRowHeight="15" customHeight="1"/>
  <cols>
    <col min="1" max="1" width="33.875" style="109" customWidth="1"/>
    <col min="2" max="2" width="28.125" style="109" customWidth="1"/>
    <col min="3" max="3" width="25.875" style="109" customWidth="1"/>
    <col min="4" max="4" width="26" style="109" customWidth="1"/>
    <col min="5" max="5" width="36.125" style="109" customWidth="1"/>
    <col min="6" max="6" width="13.625" style="109" customWidth="1"/>
    <col min="7" max="7" width="18" style="109" customWidth="1"/>
    <col min="8" max="8" width="20.875" style="109" customWidth="1"/>
    <col min="9" max="9" width="21.125" style="109" customWidth="1"/>
    <col min="10" max="10" width="28.625" style="109" customWidth="1"/>
    <col min="11" max="16384" width="11.125" style="109"/>
  </cols>
  <sheetData>
    <row r="1" spans="1:10" ht="118.5" customHeight="1" thickBot="1">
      <c r="A1" s="204" t="e" vm="1">
        <v>#VALUE!</v>
      </c>
      <c r="B1" s="205"/>
      <c r="C1" s="208" t="s">
        <v>0</v>
      </c>
      <c r="D1" s="208"/>
      <c r="E1" s="208"/>
      <c r="F1" s="208"/>
      <c r="G1" s="209"/>
      <c r="H1" s="108" t="s">
        <v>1</v>
      </c>
      <c r="I1" s="212" t="s">
        <v>2</v>
      </c>
      <c r="J1" s="213"/>
    </row>
    <row r="2" spans="1:10" ht="76.5" customHeight="1" thickBot="1">
      <c r="A2" s="206"/>
      <c r="B2" s="207"/>
      <c r="C2" s="210"/>
      <c r="D2" s="210"/>
      <c r="E2" s="210"/>
      <c r="F2" s="210"/>
      <c r="G2" s="211"/>
      <c r="H2" s="108" t="s">
        <v>3</v>
      </c>
      <c r="I2" s="214">
        <v>45889</v>
      </c>
      <c r="J2" s="213"/>
    </row>
    <row r="3" spans="1:10" ht="28.5" customHeight="1" thickBot="1">
      <c r="A3" s="223" t="s">
        <v>1055</v>
      </c>
      <c r="B3" s="224"/>
      <c r="C3" s="224"/>
      <c r="D3" s="224"/>
      <c r="E3" s="225" t="s">
        <v>1054</v>
      </c>
      <c r="F3" s="225"/>
      <c r="G3" s="226"/>
      <c r="H3" s="215" t="s">
        <v>1114</v>
      </c>
      <c r="I3" s="216"/>
      <c r="J3" s="217"/>
    </row>
    <row r="4" spans="1:10" ht="28.5" customHeight="1" thickBot="1">
      <c r="A4" s="129" t="s">
        <v>6</v>
      </c>
      <c r="B4" s="220" t="s">
        <v>108</v>
      </c>
      <c r="C4" s="213"/>
      <c r="D4" s="130" t="s">
        <v>8</v>
      </c>
      <c r="E4" s="131" t="s">
        <v>980</v>
      </c>
      <c r="F4" s="218" t="s">
        <v>10</v>
      </c>
      <c r="G4" s="219"/>
      <c r="H4" s="132">
        <v>6300000</v>
      </c>
      <c r="I4" s="133" t="s">
        <v>11</v>
      </c>
      <c r="J4" s="134"/>
    </row>
    <row r="5" spans="1:10" ht="28.5" customHeight="1" thickBot="1">
      <c r="A5" s="270" t="s">
        <v>12</v>
      </c>
      <c r="B5" s="213"/>
      <c r="C5" s="271" t="s">
        <v>109</v>
      </c>
      <c r="D5" s="252"/>
      <c r="E5" s="213"/>
      <c r="F5" s="227" t="s">
        <v>14</v>
      </c>
      <c r="G5" s="228"/>
      <c r="H5" s="231" t="s">
        <v>110</v>
      </c>
      <c r="I5" s="233" t="s">
        <v>16</v>
      </c>
      <c r="J5" s="231" t="s">
        <v>111</v>
      </c>
    </row>
    <row r="6" spans="1:10" ht="69" customHeight="1" thickBot="1">
      <c r="A6" s="131" t="s">
        <v>18</v>
      </c>
      <c r="B6" s="135" t="s">
        <v>19</v>
      </c>
      <c r="C6" s="136" t="s">
        <v>20</v>
      </c>
      <c r="D6" s="137" t="s">
        <v>21</v>
      </c>
      <c r="E6" s="136" t="s">
        <v>22</v>
      </c>
      <c r="F6" s="302"/>
      <c r="G6" s="303"/>
      <c r="H6" s="299"/>
      <c r="I6" s="232"/>
      <c r="J6" s="232"/>
    </row>
    <row r="7" spans="1:10" ht="78.95" customHeight="1" thickBot="1">
      <c r="A7" s="277" t="s">
        <v>23</v>
      </c>
      <c r="B7" s="213"/>
      <c r="C7" s="272" t="s">
        <v>1058</v>
      </c>
      <c r="D7" s="252"/>
      <c r="E7" s="292"/>
      <c r="F7" s="296" t="s">
        <v>24</v>
      </c>
      <c r="G7" s="297"/>
      <c r="H7" s="298"/>
      <c r="I7" s="293" t="s">
        <v>25</v>
      </c>
      <c r="J7" s="213"/>
    </row>
    <row r="8" spans="1:10" ht="28.5" customHeight="1" thickBot="1">
      <c r="A8" s="294" t="s">
        <v>26</v>
      </c>
      <c r="B8" s="295" t="s">
        <v>27</v>
      </c>
      <c r="C8" s="281" t="s">
        <v>28</v>
      </c>
      <c r="D8" s="252"/>
      <c r="E8" s="213"/>
      <c r="F8" s="300" t="s">
        <v>29</v>
      </c>
      <c r="G8" s="219"/>
      <c r="H8" s="301" t="s">
        <v>30</v>
      </c>
      <c r="I8" s="274" t="s">
        <v>31</v>
      </c>
      <c r="J8" s="275" t="s">
        <v>32</v>
      </c>
    </row>
    <row r="9" spans="1:10" ht="28.5" customHeight="1" thickBot="1">
      <c r="A9" s="232"/>
      <c r="B9" s="258"/>
      <c r="C9" s="138" t="s">
        <v>33</v>
      </c>
      <c r="D9" s="139" t="s">
        <v>34</v>
      </c>
      <c r="E9" s="140" t="s">
        <v>35</v>
      </c>
      <c r="F9" s="229"/>
      <c r="G9" s="230"/>
      <c r="H9" s="232"/>
      <c r="I9" s="249"/>
      <c r="J9" s="232"/>
    </row>
    <row r="10" spans="1:10" ht="186" customHeight="1" thickBot="1">
      <c r="A10" s="278" t="s">
        <v>36</v>
      </c>
      <c r="B10" s="231" t="s">
        <v>112</v>
      </c>
      <c r="C10" s="291" t="s">
        <v>113</v>
      </c>
      <c r="D10" s="168" t="s">
        <v>1035</v>
      </c>
      <c r="E10" s="168" t="s">
        <v>40</v>
      </c>
      <c r="F10" s="91" t="s">
        <v>1039</v>
      </c>
      <c r="G10" s="91" t="s">
        <v>1037</v>
      </c>
      <c r="H10" s="168" t="s">
        <v>581</v>
      </c>
      <c r="I10" s="168" t="s">
        <v>1035</v>
      </c>
      <c r="J10" s="168" t="s">
        <v>582</v>
      </c>
    </row>
    <row r="11" spans="1:10" ht="44.1" customHeight="1" thickBot="1">
      <c r="A11" s="235"/>
      <c r="B11" s="235"/>
      <c r="C11" s="241"/>
      <c r="D11" s="169"/>
      <c r="E11" s="169"/>
      <c r="F11" s="173" t="s">
        <v>45</v>
      </c>
      <c r="G11" s="174"/>
      <c r="H11" s="169"/>
      <c r="I11" s="169"/>
      <c r="J11" s="169"/>
    </row>
    <row r="12" spans="1:10" ht="89.1" customHeight="1" thickBot="1">
      <c r="A12" s="232"/>
      <c r="B12" s="232"/>
      <c r="C12" s="242"/>
      <c r="D12" s="170"/>
      <c r="E12" s="170"/>
      <c r="F12" s="105"/>
      <c r="G12" s="92" t="s">
        <v>1038</v>
      </c>
      <c r="H12" s="170"/>
      <c r="I12" s="170"/>
      <c r="J12" s="170"/>
    </row>
    <row r="13" spans="1:10" ht="101.1" customHeight="1" thickBot="1">
      <c r="A13" s="279" t="s">
        <v>47</v>
      </c>
      <c r="B13" s="290" t="s">
        <v>115</v>
      </c>
      <c r="C13" s="231" t="s">
        <v>1060</v>
      </c>
      <c r="D13" s="234" t="s">
        <v>1059</v>
      </c>
      <c r="E13" s="231" t="s">
        <v>117</v>
      </c>
      <c r="F13" s="141">
        <v>6</v>
      </c>
      <c r="G13" s="142" t="s">
        <v>1061</v>
      </c>
      <c r="H13" s="231" t="s">
        <v>118</v>
      </c>
      <c r="I13" s="231" t="s">
        <v>119</v>
      </c>
      <c r="J13" s="231" t="s">
        <v>120</v>
      </c>
    </row>
    <row r="14" spans="1:10" ht="101.1" customHeight="1" thickBot="1">
      <c r="A14" s="235"/>
      <c r="B14" s="235"/>
      <c r="C14" s="235"/>
      <c r="D14" s="235"/>
      <c r="E14" s="235"/>
      <c r="F14" s="289" t="s">
        <v>45</v>
      </c>
      <c r="G14" s="238"/>
      <c r="H14" s="235"/>
      <c r="I14" s="235"/>
      <c r="J14" s="235"/>
    </row>
    <row r="15" spans="1:10" ht="113.1" customHeight="1" thickBot="1">
      <c r="A15" s="232"/>
      <c r="B15" s="232"/>
      <c r="C15" s="232"/>
      <c r="D15" s="232"/>
      <c r="E15" s="232"/>
      <c r="F15" s="149"/>
      <c r="G15" s="142" t="s">
        <v>1062</v>
      </c>
      <c r="H15" s="232"/>
      <c r="I15" s="232"/>
      <c r="J15" s="232"/>
    </row>
    <row r="16" spans="1:10" ht="57.75" customHeight="1" thickBot="1">
      <c r="A16" s="283" t="s">
        <v>56</v>
      </c>
      <c r="B16" s="234" t="s">
        <v>48</v>
      </c>
      <c r="C16" s="276" t="s">
        <v>49</v>
      </c>
      <c r="D16" s="234" t="s">
        <v>50</v>
      </c>
      <c r="E16" s="234" t="s">
        <v>40</v>
      </c>
      <c r="F16" s="94">
        <v>75</v>
      </c>
      <c r="G16" s="123" t="s">
        <v>51</v>
      </c>
      <c r="H16" s="234" t="s">
        <v>52</v>
      </c>
      <c r="I16" s="234" t="s">
        <v>53</v>
      </c>
      <c r="J16" s="234" t="s">
        <v>54</v>
      </c>
    </row>
    <row r="17" spans="1:10" ht="24" customHeight="1" thickBot="1">
      <c r="A17" s="284"/>
      <c r="B17" s="235"/>
      <c r="C17" s="241"/>
      <c r="D17" s="235"/>
      <c r="E17" s="235"/>
      <c r="F17" s="237" t="s">
        <v>45</v>
      </c>
      <c r="G17" s="238"/>
      <c r="H17" s="235"/>
      <c r="I17" s="235"/>
      <c r="J17" s="235"/>
    </row>
    <row r="18" spans="1:10" ht="80.099999999999994" customHeight="1" thickBot="1">
      <c r="A18" s="284"/>
      <c r="B18" s="232"/>
      <c r="C18" s="242"/>
      <c r="D18" s="232"/>
      <c r="E18" s="232"/>
      <c r="F18" s="126" t="s">
        <v>1063</v>
      </c>
      <c r="G18" s="124" t="s">
        <v>55</v>
      </c>
      <c r="H18" s="232"/>
      <c r="I18" s="232"/>
      <c r="J18" s="232"/>
    </row>
    <row r="19" spans="1:10" ht="55.5" customHeight="1" thickBot="1">
      <c r="A19" s="284"/>
      <c r="B19" s="231" t="s">
        <v>121</v>
      </c>
      <c r="C19" s="231" t="s">
        <v>122</v>
      </c>
      <c r="D19" s="234" t="s">
        <v>59</v>
      </c>
      <c r="E19" s="234" t="s">
        <v>40</v>
      </c>
      <c r="F19" s="94">
        <v>100</v>
      </c>
      <c r="G19" s="125" t="s">
        <v>60</v>
      </c>
      <c r="H19" s="234" t="s">
        <v>123</v>
      </c>
      <c r="I19" s="234" t="s">
        <v>124</v>
      </c>
      <c r="J19" s="234" t="s">
        <v>125</v>
      </c>
    </row>
    <row r="20" spans="1:10" ht="28.5" customHeight="1" thickBot="1">
      <c r="A20" s="284"/>
      <c r="B20" s="235"/>
      <c r="C20" s="235"/>
      <c r="D20" s="235"/>
      <c r="E20" s="235"/>
      <c r="F20" s="237" t="s">
        <v>45</v>
      </c>
      <c r="G20" s="238"/>
      <c r="H20" s="235"/>
      <c r="I20" s="235"/>
      <c r="J20" s="235"/>
    </row>
    <row r="21" spans="1:10" ht="70.5" customHeight="1" thickBot="1">
      <c r="A21" s="285"/>
      <c r="B21" s="232"/>
      <c r="C21" s="232"/>
      <c r="D21" s="232"/>
      <c r="E21" s="232"/>
      <c r="F21" s="126">
        <v>7</v>
      </c>
      <c r="G21" s="127" t="s">
        <v>64</v>
      </c>
      <c r="H21" s="232"/>
      <c r="I21" s="232"/>
      <c r="J21" s="232"/>
    </row>
    <row r="22" spans="1:10" ht="107.1" customHeight="1" thickBot="1">
      <c r="A22" s="278" t="s">
        <v>80</v>
      </c>
      <c r="B22" s="231" t="s">
        <v>126</v>
      </c>
      <c r="C22" s="231" t="s">
        <v>127</v>
      </c>
      <c r="D22" s="234" t="s">
        <v>59</v>
      </c>
      <c r="E22" s="231" t="s">
        <v>40</v>
      </c>
      <c r="F22" s="108">
        <v>100</v>
      </c>
      <c r="G22" s="125" t="s">
        <v>128</v>
      </c>
      <c r="H22" s="234" t="s">
        <v>129</v>
      </c>
      <c r="I22" s="234" t="s">
        <v>130</v>
      </c>
      <c r="J22" s="234" t="s">
        <v>79</v>
      </c>
    </row>
    <row r="23" spans="1:10" ht="19.5" customHeight="1" thickBot="1">
      <c r="A23" s="235"/>
      <c r="B23" s="235"/>
      <c r="C23" s="235"/>
      <c r="D23" s="235"/>
      <c r="E23" s="235"/>
      <c r="F23" s="287" t="s">
        <v>45</v>
      </c>
      <c r="G23" s="238"/>
      <c r="H23" s="235"/>
      <c r="I23" s="235"/>
      <c r="J23" s="235"/>
    </row>
    <row r="24" spans="1:10" ht="58.5" customHeight="1" thickBot="1">
      <c r="A24" s="235"/>
      <c r="B24" s="232"/>
      <c r="C24" s="232"/>
      <c r="D24" s="232"/>
      <c r="E24" s="232"/>
      <c r="F24" s="144">
        <v>6</v>
      </c>
      <c r="G24" s="127" t="s">
        <v>64</v>
      </c>
      <c r="H24" s="232"/>
      <c r="I24" s="232"/>
      <c r="J24" s="232"/>
    </row>
    <row r="25" spans="1:10" ht="64.5" customHeight="1" thickBot="1">
      <c r="A25" s="235"/>
      <c r="B25" s="231" t="s">
        <v>131</v>
      </c>
      <c r="C25" s="231" t="s">
        <v>132</v>
      </c>
      <c r="D25" s="234" t="s">
        <v>59</v>
      </c>
      <c r="E25" s="288" t="s">
        <v>40</v>
      </c>
      <c r="F25" s="94">
        <v>100</v>
      </c>
      <c r="G25" s="125" t="s">
        <v>133</v>
      </c>
      <c r="H25" s="234" t="s">
        <v>134</v>
      </c>
      <c r="I25" s="234" t="s">
        <v>135</v>
      </c>
      <c r="J25" s="234" t="s">
        <v>136</v>
      </c>
    </row>
    <row r="26" spans="1:10" ht="23.25" customHeight="1" thickBot="1">
      <c r="A26" s="235"/>
      <c r="B26" s="235"/>
      <c r="C26" s="235"/>
      <c r="D26" s="235"/>
      <c r="E26" s="235"/>
      <c r="F26" s="237" t="s">
        <v>45</v>
      </c>
      <c r="G26" s="238"/>
      <c r="H26" s="235"/>
      <c r="I26" s="235"/>
      <c r="J26" s="235"/>
    </row>
    <row r="27" spans="1:10" ht="48.75" customHeight="1" thickBot="1">
      <c r="A27" s="232"/>
      <c r="B27" s="232"/>
      <c r="C27" s="232"/>
      <c r="D27" s="232"/>
      <c r="E27" s="232"/>
      <c r="F27" s="128">
        <v>7</v>
      </c>
      <c r="G27" s="127" t="s">
        <v>64</v>
      </c>
      <c r="H27" s="232"/>
      <c r="I27" s="232"/>
      <c r="J27" s="232"/>
    </row>
  </sheetData>
  <mergeCells count="78">
    <mergeCell ref="A1:B2"/>
    <mergeCell ref="C1:G2"/>
    <mergeCell ref="I1:J1"/>
    <mergeCell ref="I2:J2"/>
    <mergeCell ref="A3:D3"/>
    <mergeCell ref="E3:G3"/>
    <mergeCell ref="H3:J3"/>
    <mergeCell ref="B4:C4"/>
    <mergeCell ref="F4:G4"/>
    <mergeCell ref="A5:B5"/>
    <mergeCell ref="C5:E5"/>
    <mergeCell ref="F5:G6"/>
    <mergeCell ref="I5:I6"/>
    <mergeCell ref="J5:J6"/>
    <mergeCell ref="A7:B7"/>
    <mergeCell ref="C7:E7"/>
    <mergeCell ref="F7:H7"/>
    <mergeCell ref="I7:J7"/>
    <mergeCell ref="H5:H6"/>
    <mergeCell ref="J8:J9"/>
    <mergeCell ref="A10:A12"/>
    <mergeCell ref="B10:B12"/>
    <mergeCell ref="C10:C12"/>
    <mergeCell ref="D10:D12"/>
    <mergeCell ref="E10:E12"/>
    <mergeCell ref="H10:H12"/>
    <mergeCell ref="I10:I12"/>
    <mergeCell ref="J10:J12"/>
    <mergeCell ref="F11:G11"/>
    <mergeCell ref="A8:A9"/>
    <mergeCell ref="B8:B9"/>
    <mergeCell ref="C8:E8"/>
    <mergeCell ref="F8:G9"/>
    <mergeCell ref="H8:H9"/>
    <mergeCell ref="I8:I9"/>
    <mergeCell ref="I13:I15"/>
    <mergeCell ref="J13:J15"/>
    <mergeCell ref="F14:G14"/>
    <mergeCell ref="A16:A21"/>
    <mergeCell ref="B16:B18"/>
    <mergeCell ref="C16:C18"/>
    <mergeCell ref="D16:D18"/>
    <mergeCell ref="E16:E18"/>
    <mergeCell ref="H16:H18"/>
    <mergeCell ref="I16:I18"/>
    <mergeCell ref="A13:A15"/>
    <mergeCell ref="B13:B15"/>
    <mergeCell ref="C13:C15"/>
    <mergeCell ref="D13:D15"/>
    <mergeCell ref="E13:E15"/>
    <mergeCell ref="H13:H15"/>
    <mergeCell ref="J16:J18"/>
    <mergeCell ref="F17:G17"/>
    <mergeCell ref="B19:B21"/>
    <mergeCell ref="C19:C21"/>
    <mergeCell ref="D19:D21"/>
    <mergeCell ref="E19:E21"/>
    <mergeCell ref="H19:H21"/>
    <mergeCell ref="I19:I21"/>
    <mergeCell ref="J19:J21"/>
    <mergeCell ref="F20:G20"/>
    <mergeCell ref="A22:A27"/>
    <mergeCell ref="B22:B24"/>
    <mergeCell ref="C22:C24"/>
    <mergeCell ref="D22:D24"/>
    <mergeCell ref="E22:E24"/>
    <mergeCell ref="I22:I24"/>
    <mergeCell ref="J22:J24"/>
    <mergeCell ref="F23:G23"/>
    <mergeCell ref="B25:B27"/>
    <mergeCell ref="C25:C27"/>
    <mergeCell ref="D25:D27"/>
    <mergeCell ref="E25:E27"/>
    <mergeCell ref="H25:H27"/>
    <mergeCell ref="I25:I27"/>
    <mergeCell ref="J25:J27"/>
    <mergeCell ref="H22:H24"/>
    <mergeCell ref="F26:G26"/>
  </mergeCells>
  <conditionalFormatting sqref="F18">
    <cfRule type="cellIs" dxfId="335" priority="1" stopIfTrue="1" operator="lessThan">
      <formula>$F$16</formula>
    </cfRule>
    <cfRule type="cellIs" dxfId="334" priority="2" stopIfTrue="1" operator="greaterThanOrEqual">
      <formula>$F$16</formula>
    </cfRule>
    <cfRule type="cellIs" dxfId="333" priority="3" operator="lessThan">
      <formula>$F$16</formula>
    </cfRule>
    <cfRule type="cellIs" dxfId="332" priority="4" operator="greaterThanOrEqual">
      <formula>$F$16</formula>
    </cfRule>
  </conditionalFormatting>
  <conditionalFormatting sqref="F21 F24 F27">
    <cfRule type="cellIs" dxfId="331" priority="7" operator="greaterThanOrEqual">
      <formula>80</formula>
    </cfRule>
  </conditionalFormatting>
  <conditionalFormatting sqref="F21">
    <cfRule type="cellIs" dxfId="330" priority="6" operator="lessThan">
      <formula>80</formula>
    </cfRule>
    <cfRule type="cellIs" dxfId="329" priority="10" operator="lessThan">
      <formula>$F$16</formula>
    </cfRule>
    <cfRule type="cellIs" dxfId="328" priority="11" operator="greaterThanOrEqual">
      <formula>$F$16</formula>
    </cfRule>
  </conditionalFormatting>
  <conditionalFormatting sqref="F24 F27">
    <cfRule type="cellIs" dxfId="327" priority="5" operator="lessThan">
      <formula>79</formula>
    </cfRule>
  </conditionalFormatting>
  <conditionalFormatting sqref="F24">
    <cfRule type="cellIs" dxfId="326" priority="12" operator="lessThan">
      <formula>$F$16</formula>
    </cfRule>
    <cfRule type="cellIs" dxfId="325" priority="13" operator="greaterThanOrEqual">
      <formula>$F$16</formula>
    </cfRule>
  </conditionalFormatting>
  <conditionalFormatting sqref="F27">
    <cfRule type="cellIs" dxfId="324" priority="14" operator="lessThan">
      <formula>$F$16</formula>
    </cfRule>
    <cfRule type="cellIs" dxfId="323" priority="15" operator="greaterThanOrEqual">
      <formula>$F$16</formula>
    </cfRule>
  </conditionalFormatting>
  <conditionalFormatting sqref="J4">
    <cfRule type="cellIs" dxfId="322" priority="8" operator="lessThan">
      <formula>$H$4</formula>
    </cfRule>
    <cfRule type="cellIs" dxfId="321" priority="9" operator="greaterThan">
      <formula>$H$4</formula>
    </cfRule>
  </conditionalFormatting>
  <pageMargins left="0.25" right="0.25" top="0.75" bottom="0.75" header="0" footer="0"/>
  <pageSetup scale="2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outlinePr summaryBelow="0" summaryRight="0"/>
  </sheetPr>
  <dimension ref="A1:T1000"/>
  <sheetViews>
    <sheetView workbookViewId="0"/>
  </sheetViews>
  <sheetFormatPr baseColWidth="10" defaultColWidth="11.125" defaultRowHeight="15" customHeight="1"/>
  <sheetData>
    <row r="1" spans="1:20">
      <c r="A1" s="6" t="str">
        <f ca="1">IFERROR(__xludf.DUMMYFUNCTION("IMPORTRANGE(""https://docs.google.com/spreadsheets/d/10IqGK8hPttXMfMGKFeSIUOsu5FYmsc1T33xvKX4SQDw/edit?gid=1689415533#gid=1689415533"",""SECRETARIA 24-25!A1:T"")"),"DEPENDENCIA")</f>
        <v>DEPENDENCIA</v>
      </c>
      <c r="B1" s="6" t="str">
        <f ca="1">IFERROR(__xludf.DUMMYFUNCTION("""COMPUTED_VALUE"""),"SECRETARIA GENERAL")</f>
        <v>SECRETARIA GENERAL</v>
      </c>
      <c r="C1" s="6"/>
      <c r="D1" s="6"/>
      <c r="E1" s="6" t="str">
        <f ca="1">IFERROR(__xludf.DUMMYFUNCTION("""COMPUTED_VALUE"""),"PERIODO")</f>
        <v>PERIODO</v>
      </c>
      <c r="F1" s="6" t="str">
        <f ca="1">IFERROR(__xludf.DUMMYFUNCTION("""COMPUTED_VALUE"""),"OCTUBRE 2024 - SEPTIEMBRE 2025")</f>
        <v>OCTUBRE 2024 - SEPTIEMBRE 2025</v>
      </c>
      <c r="G1" s="6"/>
      <c r="H1" s="6" t="str">
        <f ca="1">IFERROR(__xludf.DUMMYFUNCTION("""COMPUTED_VALUE"""),"SISTEMA MUNICIPAL DE GESTION DE RESULTADOS")</f>
        <v>SISTEMA MUNICIPAL DE GESTION DE RESULTADOS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6" t="str">
        <f ca="1">IFERROR(__xludf.DUMMYFUNCTION("""COMPUTED_VALUE"""),"DEPARTAMENTO")</f>
        <v>DEPARTAMENTO</v>
      </c>
      <c r="B2" s="6" t="str">
        <f ca="1">IFERROR(__xludf.DUMMYFUNCTION("""COMPUTED_VALUE"""),"INDICADORES")</f>
        <v>INDICADORES</v>
      </c>
      <c r="C2" s="6" t="str">
        <f ca="1">IFERROR(__xludf.DUMMYFUNCTION("""COMPUTED_VALUE"""),"META ANUAL")</f>
        <v>META ANUAL</v>
      </c>
      <c r="D2" s="6" t="str">
        <f ca="1">IFERROR(__xludf.DUMMYFUNCTION("""COMPUTED_VALUE"""),"UNIDAD DE MEDIDA")</f>
        <v>UNIDAD DE MEDIDA</v>
      </c>
      <c r="E2" s="6" t="str">
        <f ca="1">IFERROR(__xludf.DUMMYFUNCTION("""COMPUTED_VALUE"""),"TIPO DE INDICADOR")</f>
        <v>TIPO DE INDICADOR</v>
      </c>
      <c r="F2" s="6" t="str">
        <f ca="1">IFERROR(__xludf.DUMMYFUNCTION("""COMPUTED_VALUE"""),"MEDIO DE VERIFICACION")</f>
        <v>MEDIO DE VERIFICACION</v>
      </c>
      <c r="G2" s="6" t="str">
        <f ca="1">IFERROR(__xludf.DUMMYFUNCTION("""COMPUTED_VALUE"""),"% AVANCE ")</f>
        <v xml:space="preserve">% AVANCE </v>
      </c>
      <c r="H2" s="6" t="str">
        <f ca="1">IFERROR(__xludf.DUMMYFUNCTION("""COMPUTED_VALUE"""),"OCTUBRE")</f>
        <v>OCTUBRE</v>
      </c>
      <c r="I2" s="6" t="str">
        <f ca="1">IFERROR(__xludf.DUMMYFUNCTION("""COMPUTED_VALUE"""),"NOVIEMBRE")</f>
        <v>NOVIEMBRE</v>
      </c>
      <c r="J2" s="6" t="str">
        <f ca="1">IFERROR(__xludf.DUMMYFUNCTION("""COMPUTED_VALUE"""),"DICIEMBRE")</f>
        <v>DICIEMBRE</v>
      </c>
      <c r="K2" s="6" t="str">
        <f ca="1">IFERROR(__xludf.DUMMYFUNCTION("""COMPUTED_VALUE"""),"ENERO")</f>
        <v>ENERO</v>
      </c>
      <c r="L2" s="6" t="str">
        <f ca="1">IFERROR(__xludf.DUMMYFUNCTION("""COMPUTED_VALUE"""),"FEBRERO")</f>
        <v>FEBRERO</v>
      </c>
      <c r="M2" s="6" t="str">
        <f ca="1">IFERROR(__xludf.DUMMYFUNCTION("""COMPUTED_VALUE"""),"MARZO")</f>
        <v>MARZO</v>
      </c>
      <c r="N2" s="6" t="str">
        <f ca="1">IFERROR(__xludf.DUMMYFUNCTION("""COMPUTED_VALUE"""),"ABRIL")</f>
        <v>ABRIL</v>
      </c>
      <c r="O2" s="6" t="str">
        <f ca="1">IFERROR(__xludf.DUMMYFUNCTION("""COMPUTED_VALUE"""),"MAYO")</f>
        <v>MAYO</v>
      </c>
      <c r="P2" s="6" t="str">
        <f ca="1">IFERROR(__xludf.DUMMYFUNCTION("""COMPUTED_VALUE"""),"JUNIO")</f>
        <v>JUNIO</v>
      </c>
      <c r="Q2" s="6" t="str">
        <f ca="1">IFERROR(__xludf.DUMMYFUNCTION("""COMPUTED_VALUE"""),"JULIO")</f>
        <v>JULIO</v>
      </c>
      <c r="R2" s="6" t="str">
        <f ca="1">IFERROR(__xludf.DUMMYFUNCTION("""COMPUTED_VALUE"""),"AGOSTO")</f>
        <v>AGOSTO</v>
      </c>
      <c r="S2" s="6" t="str">
        <f ca="1">IFERROR(__xludf.DUMMYFUNCTION("""COMPUTED_VALUE"""),"SEPTIEMBRE")</f>
        <v>SEPTIEMBRE</v>
      </c>
      <c r="T2" s="6" t="str">
        <f ca="1">IFERROR(__xludf.DUMMYFUNCTION("""COMPUTED_VALUE"""),"SUMATORIA TOTAL")</f>
        <v>SUMATORIA TOTAL</v>
      </c>
    </row>
    <row r="3" spans="1:20">
      <c r="A3" s="6" t="str">
        <f ca="1">IFERROR(__xludf.DUMMYFUNCTION("""COMPUTED_VALUE"""),"SECRETARIA GENERAL")</f>
        <v>SECRETARIA GENERAL</v>
      </c>
      <c r="B3" s="6" t="str">
        <f ca="1">IFERROR(__xludf.DUMMYFUNCTION("""COMPUTED_VALUE"""),"SESIONES DE AYUNTAMIENTO")</f>
        <v>SESIONES DE AYUNTAMIENTO</v>
      </c>
      <c r="C3" s="6">
        <f ca="1">IFERROR(__xludf.DUMMYFUNCTION("""COMPUTED_VALUE"""),20)</f>
        <v>20</v>
      </c>
      <c r="D3" s="6" t="str">
        <f ca="1">IFERROR(__xludf.DUMMYFUNCTION("""COMPUTED_VALUE"""),"SESIONES")</f>
        <v>SESIONES</v>
      </c>
      <c r="E3" s="6" t="str">
        <f ca="1">IFERROR(__xludf.DUMMYFUNCTION("""COMPUTED_VALUE"""),"ASCENDENTE")</f>
        <v>ASCENDENTE</v>
      </c>
      <c r="F3" s="6" t="str">
        <f ca="1">IFERROR(__xludf.DUMMYFUNCTION("""COMPUTED_VALUE"""),"SESIONES PUBLICAS")</f>
        <v>SESIONES PUBLICAS</v>
      </c>
      <c r="G3" s="6">
        <f ca="1">IFERROR(__xludf.DUMMYFUNCTION("""COMPUTED_VALUE"""),80)</f>
        <v>80</v>
      </c>
      <c r="H3" s="6">
        <f ca="1">IFERROR(__xludf.DUMMYFUNCTION("""COMPUTED_VALUE"""),2)</f>
        <v>2</v>
      </c>
      <c r="I3" s="6">
        <f ca="1">IFERROR(__xludf.DUMMYFUNCTION("""COMPUTED_VALUE"""),1)</f>
        <v>1</v>
      </c>
      <c r="J3" s="6">
        <f ca="1">IFERROR(__xludf.DUMMYFUNCTION("""COMPUTED_VALUE"""),2)</f>
        <v>2</v>
      </c>
      <c r="K3" s="6">
        <f ca="1">IFERROR(__xludf.DUMMYFUNCTION("""COMPUTED_VALUE"""),2)</f>
        <v>2</v>
      </c>
      <c r="L3" s="6">
        <f ca="1">IFERROR(__xludf.DUMMYFUNCTION("""COMPUTED_VALUE"""),2)</f>
        <v>2</v>
      </c>
      <c r="M3" s="6">
        <f ca="1">IFERROR(__xludf.DUMMYFUNCTION("""COMPUTED_VALUE"""),2)</f>
        <v>2</v>
      </c>
      <c r="N3" s="6">
        <f ca="1">IFERROR(__xludf.DUMMYFUNCTION("""COMPUTED_VALUE"""),1)</f>
        <v>1</v>
      </c>
      <c r="O3" s="6">
        <f ca="1">IFERROR(__xludf.DUMMYFUNCTION("""COMPUTED_VALUE"""),2)</f>
        <v>2</v>
      </c>
      <c r="P3" s="6">
        <f ca="1">IFERROR(__xludf.DUMMYFUNCTION("""COMPUTED_VALUE"""),2)</f>
        <v>2</v>
      </c>
      <c r="Q3" s="6">
        <f ca="1">IFERROR(__xludf.DUMMYFUNCTION("""COMPUTED_VALUE"""),0)</f>
        <v>0</v>
      </c>
      <c r="R3" s="6">
        <f ca="1">IFERROR(__xludf.DUMMYFUNCTION("""COMPUTED_VALUE"""),0)</f>
        <v>0</v>
      </c>
      <c r="S3" s="6">
        <f ca="1">IFERROR(__xludf.DUMMYFUNCTION("""COMPUTED_VALUE"""),0)</f>
        <v>0</v>
      </c>
      <c r="T3" s="6">
        <f ca="1">IFERROR(__xludf.DUMMYFUNCTION("""COMPUTED_VALUE"""),16)</f>
        <v>16</v>
      </c>
    </row>
    <row r="4" spans="1:20">
      <c r="A4" s="6"/>
      <c r="B4" s="6" t="str">
        <f ca="1">IFERROR(__xludf.DUMMYFUNCTION("""COMPUTED_VALUE"""),"CONSTANCIAS")</f>
        <v>CONSTANCIAS</v>
      </c>
      <c r="C4" s="6">
        <f ca="1">IFERROR(__xludf.DUMMYFUNCTION("""COMPUTED_VALUE"""),1200)</f>
        <v>1200</v>
      </c>
      <c r="D4" s="6" t="str">
        <f ca="1">IFERROR(__xludf.DUMMYFUNCTION("""COMPUTED_VALUE"""),"CONSTANCIAS")</f>
        <v>CONSTANCIAS</v>
      </c>
      <c r="E4" s="6" t="str">
        <f ca="1">IFERROR(__xludf.DUMMYFUNCTION("""COMPUTED_VALUE"""),"ASCENDENTE")</f>
        <v>ASCENDENTE</v>
      </c>
      <c r="F4" s="6" t="str">
        <f ca="1">IFERROR(__xludf.DUMMYFUNCTION("""COMPUTED_VALUE"""),"BITACORA DE ATENCION")</f>
        <v>BITACORA DE ATENCION</v>
      </c>
      <c r="G4" s="6">
        <f ca="1">IFERROR(__xludf.DUMMYFUNCTION("""COMPUTED_VALUE"""),82.5)</f>
        <v>82.5</v>
      </c>
      <c r="H4" s="6">
        <f ca="1">IFERROR(__xludf.DUMMYFUNCTION("""COMPUTED_VALUE"""),91)</f>
        <v>91</v>
      </c>
      <c r="I4" s="6">
        <f ca="1">IFERROR(__xludf.DUMMYFUNCTION("""COMPUTED_VALUE"""),113)</f>
        <v>113</v>
      </c>
      <c r="J4" s="6">
        <f ca="1">IFERROR(__xludf.DUMMYFUNCTION("""COMPUTED_VALUE"""),100)</f>
        <v>100</v>
      </c>
      <c r="K4" s="6">
        <f ca="1">IFERROR(__xludf.DUMMYFUNCTION("""COMPUTED_VALUE"""),97)</f>
        <v>97</v>
      </c>
      <c r="L4" s="6">
        <f ca="1">IFERROR(__xludf.DUMMYFUNCTION("""COMPUTED_VALUE"""),109)</f>
        <v>109</v>
      </c>
      <c r="M4" s="6">
        <f ca="1">IFERROR(__xludf.DUMMYFUNCTION("""COMPUTED_VALUE"""),89)</f>
        <v>89</v>
      </c>
      <c r="N4" s="6">
        <f ca="1">IFERROR(__xludf.DUMMYFUNCTION("""COMPUTED_VALUE"""),97)</f>
        <v>97</v>
      </c>
      <c r="O4" s="6">
        <f ca="1">IFERROR(__xludf.DUMMYFUNCTION("""COMPUTED_VALUE"""),114)</f>
        <v>114</v>
      </c>
      <c r="P4" s="6">
        <f ca="1">IFERROR(__xludf.DUMMYFUNCTION("""COMPUTED_VALUE"""),180)</f>
        <v>180</v>
      </c>
      <c r="Q4" s="6">
        <f ca="1">IFERROR(__xludf.DUMMYFUNCTION("""COMPUTED_VALUE"""),0)</f>
        <v>0</v>
      </c>
      <c r="R4" s="6">
        <f ca="1">IFERROR(__xludf.DUMMYFUNCTION("""COMPUTED_VALUE"""),0)</f>
        <v>0</v>
      </c>
      <c r="S4" s="6">
        <f ca="1">IFERROR(__xludf.DUMMYFUNCTION("""COMPUTED_VALUE"""),0)</f>
        <v>0</v>
      </c>
      <c r="T4" s="6">
        <f ca="1">IFERROR(__xludf.DUMMYFUNCTION("""COMPUTED_VALUE"""),990)</f>
        <v>990</v>
      </c>
    </row>
    <row r="5" spans="1:20">
      <c r="A5" s="6"/>
      <c r="B5" s="6" t="str">
        <f ca="1">IFERROR(__xludf.DUMMYFUNCTION("""COMPUTED_VALUE"""),"TRAMITES DE CARTILLA")</f>
        <v>TRAMITES DE CARTILLA</v>
      </c>
      <c r="C5" s="6">
        <f ca="1">IFERROR(__xludf.DUMMYFUNCTION("""COMPUTED_VALUE"""),80)</f>
        <v>80</v>
      </c>
      <c r="D5" s="6" t="str">
        <f ca="1">IFERROR(__xludf.DUMMYFUNCTION("""COMPUTED_VALUE"""),"PRECARTILLAS ")</f>
        <v xml:space="preserve">PRECARTILLAS </v>
      </c>
      <c r="E5" s="6" t="str">
        <f ca="1">IFERROR(__xludf.DUMMYFUNCTION("""COMPUTED_VALUE"""),"ASCENDENTE")</f>
        <v>ASCENDENTE</v>
      </c>
      <c r="F5" s="6" t="str">
        <f ca="1">IFERROR(__xludf.DUMMYFUNCTION("""COMPUTED_VALUE"""),"BITACORA DE ATENCION")</f>
        <v>BITACORA DE ATENCION</v>
      </c>
      <c r="G5" s="6">
        <f ca="1">IFERROR(__xludf.DUMMYFUNCTION("""COMPUTED_VALUE"""),80)</f>
        <v>80</v>
      </c>
      <c r="H5" s="6">
        <f ca="1">IFERROR(__xludf.DUMMYFUNCTION("""COMPUTED_VALUE"""),0)</f>
        <v>0</v>
      </c>
      <c r="I5" s="6">
        <f ca="1">IFERROR(__xludf.DUMMYFUNCTION("""COMPUTED_VALUE"""),0)</f>
        <v>0</v>
      </c>
      <c r="J5" s="6">
        <f ca="1">IFERROR(__xludf.DUMMYFUNCTION("""COMPUTED_VALUE"""),0)</f>
        <v>0</v>
      </c>
      <c r="K5" s="6">
        <f ca="1">IFERROR(__xludf.DUMMYFUNCTION("""COMPUTED_VALUE"""),2)</f>
        <v>2</v>
      </c>
      <c r="L5" s="6">
        <f ca="1">IFERROR(__xludf.DUMMYFUNCTION("""COMPUTED_VALUE"""),32)</f>
        <v>32</v>
      </c>
      <c r="M5" s="6">
        <f ca="1">IFERROR(__xludf.DUMMYFUNCTION("""COMPUTED_VALUE"""),21)</f>
        <v>21</v>
      </c>
      <c r="N5" s="6">
        <f ca="1">IFERROR(__xludf.DUMMYFUNCTION("""COMPUTED_VALUE"""),6)</f>
        <v>6</v>
      </c>
      <c r="O5" s="6">
        <f ca="1">IFERROR(__xludf.DUMMYFUNCTION("""COMPUTED_VALUE"""),1)</f>
        <v>1</v>
      </c>
      <c r="P5" s="6">
        <f ca="1">IFERROR(__xludf.DUMMYFUNCTION("""COMPUTED_VALUE"""),2)</f>
        <v>2</v>
      </c>
      <c r="Q5" s="6">
        <f ca="1">IFERROR(__xludf.DUMMYFUNCTION("""COMPUTED_VALUE"""),0)</f>
        <v>0</v>
      </c>
      <c r="R5" s="6">
        <f ca="1">IFERROR(__xludf.DUMMYFUNCTION("""COMPUTED_VALUE"""),0)</f>
        <v>0</v>
      </c>
      <c r="S5" s="6">
        <f ca="1">IFERROR(__xludf.DUMMYFUNCTION("""COMPUTED_VALUE"""),0)</f>
        <v>0</v>
      </c>
      <c r="T5" s="6">
        <f ca="1">IFERROR(__xludf.DUMMYFUNCTION("""COMPUTED_VALUE"""),64)</f>
        <v>64</v>
      </c>
    </row>
    <row r="6" spans="1:20">
      <c r="A6" s="6" t="str">
        <f ca="1">IFERROR(__xludf.DUMMYFUNCTION("""COMPUTED_VALUE"""),"CEMENTERIOS")</f>
        <v>CEMENTERIOS</v>
      </c>
      <c r="B6" s="6" t="str">
        <f ca="1">IFERROR(__xludf.DUMMYFUNCTION("""COMPUTED_VALUE"""),"TITULOS DE CONCESION")</f>
        <v>TITULOS DE CONCESION</v>
      </c>
      <c r="C6" s="6">
        <f ca="1">IFERROR(__xludf.DUMMYFUNCTION("""COMPUTED_VALUE"""),45)</f>
        <v>45</v>
      </c>
      <c r="D6" s="6" t="str">
        <f ca="1">IFERROR(__xludf.DUMMYFUNCTION("""COMPUTED_VALUE"""),"TITULOS")</f>
        <v>TITULOS</v>
      </c>
      <c r="E6" s="6" t="str">
        <f ca="1">IFERROR(__xludf.DUMMYFUNCTION("""COMPUTED_VALUE"""),"ASCENDENTE")</f>
        <v>ASCENDENTE</v>
      </c>
      <c r="F6" s="6" t="str">
        <f ca="1">IFERROR(__xludf.DUMMYFUNCTION("""COMPUTED_VALUE"""),"BITACORA OPERATIVA")</f>
        <v>BITACORA OPERATIVA</v>
      </c>
      <c r="G6" s="6">
        <f ca="1">IFERROR(__xludf.DUMMYFUNCTION("""COMPUTED_VALUE"""),77.7777777777777)</f>
        <v>77.7777777777777</v>
      </c>
      <c r="H6" s="6">
        <f ca="1">IFERROR(__xludf.DUMMYFUNCTION("""COMPUTED_VALUE"""),2)</f>
        <v>2</v>
      </c>
      <c r="I6" s="6">
        <f ca="1">IFERROR(__xludf.DUMMYFUNCTION("""COMPUTED_VALUE"""),3)</f>
        <v>3</v>
      </c>
      <c r="J6" s="6">
        <f ca="1">IFERROR(__xludf.DUMMYFUNCTION("""COMPUTED_VALUE"""),6)</f>
        <v>6</v>
      </c>
      <c r="K6" s="6">
        <f ca="1">IFERROR(__xludf.DUMMYFUNCTION("""COMPUTED_VALUE"""),4)</f>
        <v>4</v>
      </c>
      <c r="L6" s="6">
        <f ca="1">IFERROR(__xludf.DUMMYFUNCTION("""COMPUTED_VALUE"""),4)</f>
        <v>4</v>
      </c>
      <c r="M6" s="6">
        <f ca="1">IFERROR(__xludf.DUMMYFUNCTION("""COMPUTED_VALUE"""),4)</f>
        <v>4</v>
      </c>
      <c r="N6" s="6">
        <f ca="1">IFERROR(__xludf.DUMMYFUNCTION("""COMPUTED_VALUE"""),1)</f>
        <v>1</v>
      </c>
      <c r="O6" s="6">
        <f ca="1">IFERROR(__xludf.DUMMYFUNCTION("""COMPUTED_VALUE"""),7)</f>
        <v>7</v>
      </c>
      <c r="P6" s="6">
        <f ca="1">IFERROR(__xludf.DUMMYFUNCTION("""COMPUTED_VALUE"""),4)</f>
        <v>4</v>
      </c>
      <c r="Q6" s="6">
        <f ca="1">IFERROR(__xludf.DUMMYFUNCTION("""COMPUTED_VALUE"""),0)</f>
        <v>0</v>
      </c>
      <c r="R6" s="6">
        <f ca="1">IFERROR(__xludf.DUMMYFUNCTION("""COMPUTED_VALUE"""),0)</f>
        <v>0</v>
      </c>
      <c r="S6" s="6">
        <f ca="1">IFERROR(__xludf.DUMMYFUNCTION("""COMPUTED_VALUE"""),0)</f>
        <v>0</v>
      </c>
      <c r="T6" s="6">
        <f ca="1">IFERROR(__xludf.DUMMYFUNCTION("""COMPUTED_VALUE"""),35)</f>
        <v>35</v>
      </c>
    </row>
    <row r="7" spans="1:20">
      <c r="A7" s="6"/>
      <c r="B7" s="6" t="str">
        <f ca="1">IFERROR(__xludf.DUMMYFUNCTION("""COMPUTED_VALUE"""),"EXHUMACIONES")</f>
        <v>EXHUMACIONES</v>
      </c>
      <c r="C7" s="6">
        <f ca="1">IFERROR(__xludf.DUMMYFUNCTION("""COMPUTED_VALUE"""),138)</f>
        <v>138</v>
      </c>
      <c r="D7" s="6" t="str">
        <f ca="1">IFERROR(__xludf.DUMMYFUNCTION("""COMPUTED_VALUE"""),"EXHUMACIONES")</f>
        <v>EXHUMACIONES</v>
      </c>
      <c r="E7" s="6" t="str">
        <f ca="1">IFERROR(__xludf.DUMMYFUNCTION("""COMPUTED_VALUE"""),"ASCENDENTE")</f>
        <v>ASCENDENTE</v>
      </c>
      <c r="F7" s="6" t="str">
        <f ca="1">IFERROR(__xludf.DUMMYFUNCTION("""COMPUTED_VALUE"""),"BITACORA OPERATIVA")</f>
        <v>BITACORA OPERATIVA</v>
      </c>
      <c r="G7" s="6">
        <f ca="1">IFERROR(__xludf.DUMMYFUNCTION("""COMPUTED_VALUE"""),84.7826086956521)</f>
        <v>84.782608695652101</v>
      </c>
      <c r="H7" s="6">
        <f ca="1">IFERROR(__xludf.DUMMYFUNCTION("""COMPUTED_VALUE"""),11)</f>
        <v>11</v>
      </c>
      <c r="I7" s="6">
        <f ca="1">IFERROR(__xludf.DUMMYFUNCTION("""COMPUTED_VALUE"""),21)</f>
        <v>21</v>
      </c>
      <c r="J7" s="6">
        <f ca="1">IFERROR(__xludf.DUMMYFUNCTION("""COMPUTED_VALUE"""),11)</f>
        <v>11</v>
      </c>
      <c r="K7" s="6">
        <f ca="1">IFERROR(__xludf.DUMMYFUNCTION("""COMPUTED_VALUE"""),20)</f>
        <v>20</v>
      </c>
      <c r="L7" s="6">
        <f ca="1">IFERROR(__xludf.DUMMYFUNCTION("""COMPUTED_VALUE"""),10)</f>
        <v>10</v>
      </c>
      <c r="M7" s="6">
        <f ca="1">IFERROR(__xludf.DUMMYFUNCTION("""COMPUTED_VALUE"""),15)</f>
        <v>15</v>
      </c>
      <c r="N7" s="6">
        <f ca="1">IFERROR(__xludf.DUMMYFUNCTION("""COMPUTED_VALUE"""),4)</f>
        <v>4</v>
      </c>
      <c r="O7" s="6">
        <f ca="1">IFERROR(__xludf.DUMMYFUNCTION("""COMPUTED_VALUE"""),11)</f>
        <v>11</v>
      </c>
      <c r="P7" s="6">
        <f ca="1">IFERROR(__xludf.DUMMYFUNCTION("""COMPUTED_VALUE"""),14)</f>
        <v>14</v>
      </c>
      <c r="Q7" s="6">
        <f ca="1">IFERROR(__xludf.DUMMYFUNCTION("""COMPUTED_VALUE"""),0)</f>
        <v>0</v>
      </c>
      <c r="R7" s="6">
        <f ca="1">IFERROR(__xludf.DUMMYFUNCTION("""COMPUTED_VALUE"""),0)</f>
        <v>0</v>
      </c>
      <c r="S7" s="6">
        <f ca="1">IFERROR(__xludf.DUMMYFUNCTION("""COMPUTED_VALUE"""),0)</f>
        <v>0</v>
      </c>
      <c r="T7" s="6">
        <f ca="1">IFERROR(__xludf.DUMMYFUNCTION("""COMPUTED_VALUE"""),117)</f>
        <v>117</v>
      </c>
    </row>
    <row r="8" spans="1:20">
      <c r="A8" s="6"/>
      <c r="B8" s="6" t="str">
        <f ca="1">IFERROR(__xludf.DUMMYFUNCTION("""COMPUTED_VALUE"""),"CAMBIOS DE PROPIETARIO")</f>
        <v>CAMBIOS DE PROPIETARIO</v>
      </c>
      <c r="C8" s="6">
        <f ca="1">IFERROR(__xludf.DUMMYFUNCTION("""COMPUTED_VALUE"""),38)</f>
        <v>38</v>
      </c>
      <c r="D8" s="6" t="str">
        <f ca="1">IFERROR(__xludf.DUMMYFUNCTION("""COMPUTED_VALUE"""),"CAMBIOS")</f>
        <v>CAMBIOS</v>
      </c>
      <c r="E8" s="6" t="str">
        <f ca="1">IFERROR(__xludf.DUMMYFUNCTION("""COMPUTED_VALUE"""),"ASCENDENTE")</f>
        <v>ASCENDENTE</v>
      </c>
      <c r="F8" s="6" t="str">
        <f ca="1">IFERROR(__xludf.DUMMYFUNCTION("""COMPUTED_VALUE"""),"BITACORA OPERATIVA")</f>
        <v>BITACORA OPERATIVA</v>
      </c>
      <c r="G8" s="6">
        <f ca="1">IFERROR(__xludf.DUMMYFUNCTION("""COMPUTED_VALUE"""),76.3157894736842)</f>
        <v>76.315789473684205</v>
      </c>
      <c r="H8" s="6">
        <f ca="1">IFERROR(__xludf.DUMMYFUNCTION("""COMPUTED_VALUE"""),2)</f>
        <v>2</v>
      </c>
      <c r="I8" s="6">
        <f ca="1">IFERROR(__xludf.DUMMYFUNCTION("""COMPUTED_VALUE"""),6)</f>
        <v>6</v>
      </c>
      <c r="J8" s="6">
        <f ca="1">IFERROR(__xludf.DUMMYFUNCTION("""COMPUTED_VALUE"""),4)</f>
        <v>4</v>
      </c>
      <c r="K8" s="6">
        <f ca="1">IFERROR(__xludf.DUMMYFUNCTION("""COMPUTED_VALUE"""),2)</f>
        <v>2</v>
      </c>
      <c r="L8" s="6">
        <f ca="1">IFERROR(__xludf.DUMMYFUNCTION("""COMPUTED_VALUE"""),3)</f>
        <v>3</v>
      </c>
      <c r="M8" s="6">
        <f ca="1">IFERROR(__xludf.DUMMYFUNCTION("""COMPUTED_VALUE"""),2)</f>
        <v>2</v>
      </c>
      <c r="N8" s="6">
        <f ca="1">IFERROR(__xludf.DUMMYFUNCTION("""COMPUTED_VALUE"""),2)</f>
        <v>2</v>
      </c>
      <c r="O8" s="6">
        <f ca="1">IFERROR(__xludf.DUMMYFUNCTION("""COMPUTED_VALUE"""),1)</f>
        <v>1</v>
      </c>
      <c r="P8" s="6">
        <f ca="1">IFERROR(__xludf.DUMMYFUNCTION("""COMPUTED_VALUE"""),7)</f>
        <v>7</v>
      </c>
      <c r="Q8" s="6">
        <f ca="1">IFERROR(__xludf.DUMMYFUNCTION("""COMPUTED_VALUE"""),0)</f>
        <v>0</v>
      </c>
      <c r="R8" s="6">
        <f ca="1">IFERROR(__xludf.DUMMYFUNCTION("""COMPUTED_VALUE"""),0)</f>
        <v>0</v>
      </c>
      <c r="S8" s="6">
        <f ca="1">IFERROR(__xludf.DUMMYFUNCTION("""COMPUTED_VALUE"""),0)</f>
        <v>0</v>
      </c>
      <c r="T8" s="6">
        <f ca="1">IFERROR(__xludf.DUMMYFUNCTION("""COMPUTED_VALUE"""),29)</f>
        <v>29</v>
      </c>
    </row>
    <row r="9" spans="1:20">
      <c r="A9" s="6"/>
      <c r="B9" s="6" t="str">
        <f ca="1">IFERROR(__xludf.DUMMYFUNCTION("""COMPUTED_VALUE"""),"MANTENIMIENTO DE FOSA")</f>
        <v>MANTENIMIENTO DE FOSA</v>
      </c>
      <c r="C9" s="6">
        <f ca="1">IFERROR(__xludf.DUMMYFUNCTION("""COMPUTED_VALUE"""),1300)</f>
        <v>1300</v>
      </c>
      <c r="D9" s="6" t="str">
        <f ca="1">IFERROR(__xludf.DUMMYFUNCTION("""COMPUTED_VALUE"""),"MANTENIMIENTOS")</f>
        <v>MANTENIMIENTOS</v>
      </c>
      <c r="E9" s="6" t="str">
        <f ca="1">IFERROR(__xludf.DUMMYFUNCTION("""COMPUTED_VALUE"""),"ASCENDENTE")</f>
        <v>ASCENDENTE</v>
      </c>
      <c r="F9" s="6" t="str">
        <f ca="1">IFERROR(__xludf.DUMMYFUNCTION("""COMPUTED_VALUE"""),"BITACORA OPERATIVA")</f>
        <v>BITACORA OPERATIVA</v>
      </c>
      <c r="G9" s="6">
        <f ca="1">IFERROR(__xludf.DUMMYFUNCTION("""COMPUTED_VALUE"""),93.3846153846153)</f>
        <v>93.384615384615302</v>
      </c>
      <c r="H9" s="6">
        <f ca="1">IFERROR(__xludf.DUMMYFUNCTION("""COMPUTED_VALUE"""),90)</f>
        <v>90</v>
      </c>
      <c r="I9" s="6">
        <f ca="1">IFERROR(__xludf.DUMMYFUNCTION("""COMPUTED_VALUE"""),100)</f>
        <v>100</v>
      </c>
      <c r="J9" s="6">
        <f ca="1">IFERROR(__xludf.DUMMYFUNCTION("""COMPUTED_VALUE"""),104)</f>
        <v>104</v>
      </c>
      <c r="K9" s="6">
        <f ca="1">IFERROR(__xludf.DUMMYFUNCTION("""COMPUTED_VALUE"""),365)</f>
        <v>365</v>
      </c>
      <c r="L9" s="6">
        <f ca="1">IFERROR(__xludf.DUMMYFUNCTION("""COMPUTED_VALUE"""),105)</f>
        <v>105</v>
      </c>
      <c r="M9" s="6">
        <f ca="1">IFERROR(__xludf.DUMMYFUNCTION("""COMPUTED_VALUE"""),115)</f>
        <v>115</v>
      </c>
      <c r="N9" s="6">
        <f ca="1">IFERROR(__xludf.DUMMYFUNCTION("""COMPUTED_VALUE"""),110)</f>
        <v>110</v>
      </c>
      <c r="O9" s="6">
        <f ca="1">IFERROR(__xludf.DUMMYFUNCTION("""COMPUTED_VALUE"""),107)</f>
        <v>107</v>
      </c>
      <c r="P9" s="6">
        <f ca="1">IFERROR(__xludf.DUMMYFUNCTION("""COMPUTED_VALUE"""),118)</f>
        <v>118</v>
      </c>
      <c r="Q9" s="6">
        <f ca="1">IFERROR(__xludf.DUMMYFUNCTION("""COMPUTED_VALUE"""),0)</f>
        <v>0</v>
      </c>
      <c r="R9" s="6">
        <f ca="1">IFERROR(__xludf.DUMMYFUNCTION("""COMPUTED_VALUE"""),0)</f>
        <v>0</v>
      </c>
      <c r="S9" s="6">
        <f ca="1">IFERROR(__xludf.DUMMYFUNCTION("""COMPUTED_VALUE"""),0)</f>
        <v>0</v>
      </c>
      <c r="T9" s="6">
        <f ca="1">IFERROR(__xludf.DUMMYFUNCTION("""COMPUTED_VALUE"""),1214)</f>
        <v>1214</v>
      </c>
    </row>
    <row r="10" spans="1:20">
      <c r="A10" s="6"/>
      <c r="B10" s="6" t="str">
        <f ca="1">IFERROR(__xludf.DUMMYFUNCTION("""COMPUTED_VALUE"""),"TRAMITE DE REGULARIZACION")</f>
        <v>TRAMITE DE REGULARIZACION</v>
      </c>
      <c r="C10" s="6">
        <f ca="1">IFERROR(__xludf.DUMMYFUNCTION("""COMPUTED_VALUE"""),60)</f>
        <v>60</v>
      </c>
      <c r="D10" s="6" t="str">
        <f ca="1">IFERROR(__xludf.DUMMYFUNCTION("""COMPUTED_VALUE"""),"TRAMITES REALIZADOS")</f>
        <v>TRAMITES REALIZADOS</v>
      </c>
      <c r="E10" s="6" t="str">
        <f ca="1">IFERROR(__xludf.DUMMYFUNCTION("""COMPUTED_VALUE"""),"ASCENDENTE")</f>
        <v>ASCENDENTE</v>
      </c>
      <c r="F10" s="6" t="str">
        <f ca="1">IFERROR(__xludf.DUMMYFUNCTION("""COMPUTED_VALUE"""),"BITACORA OPERATIVA")</f>
        <v>BITACORA OPERATIVA</v>
      </c>
      <c r="G10" s="6">
        <f ca="1">IFERROR(__xludf.DUMMYFUNCTION("""COMPUTED_VALUE"""),91.6666666666666)</f>
        <v>91.6666666666666</v>
      </c>
      <c r="H10" s="6">
        <f ca="1">IFERROR(__xludf.DUMMYFUNCTION("""COMPUTED_VALUE"""),2)</f>
        <v>2</v>
      </c>
      <c r="I10" s="6">
        <f ca="1">IFERROR(__xludf.DUMMYFUNCTION("""COMPUTED_VALUE"""),6)</f>
        <v>6</v>
      </c>
      <c r="J10" s="6">
        <f ca="1">IFERROR(__xludf.DUMMYFUNCTION("""COMPUTED_VALUE"""),6)</f>
        <v>6</v>
      </c>
      <c r="K10" s="6">
        <f ca="1">IFERROR(__xludf.DUMMYFUNCTION("""COMPUTED_VALUE"""),7)</f>
        <v>7</v>
      </c>
      <c r="L10" s="6">
        <f ca="1">IFERROR(__xludf.DUMMYFUNCTION("""COMPUTED_VALUE"""),6)</f>
        <v>6</v>
      </c>
      <c r="M10" s="6">
        <f ca="1">IFERROR(__xludf.DUMMYFUNCTION("""COMPUTED_VALUE"""),7)</f>
        <v>7</v>
      </c>
      <c r="N10" s="6">
        <f ca="1">IFERROR(__xludf.DUMMYFUNCTION("""COMPUTED_VALUE"""),2)</f>
        <v>2</v>
      </c>
      <c r="O10" s="6">
        <f ca="1">IFERROR(__xludf.DUMMYFUNCTION("""COMPUTED_VALUE"""),3)</f>
        <v>3</v>
      </c>
      <c r="P10" s="6">
        <f ca="1">IFERROR(__xludf.DUMMYFUNCTION("""COMPUTED_VALUE"""),16)</f>
        <v>16</v>
      </c>
      <c r="Q10" s="6">
        <f ca="1">IFERROR(__xludf.DUMMYFUNCTION("""COMPUTED_VALUE"""),0)</f>
        <v>0</v>
      </c>
      <c r="R10" s="6">
        <f ca="1">IFERROR(__xludf.DUMMYFUNCTION("""COMPUTED_VALUE"""),0)</f>
        <v>0</v>
      </c>
      <c r="S10" s="6">
        <f ca="1">IFERROR(__xludf.DUMMYFUNCTION("""COMPUTED_VALUE"""),0)</f>
        <v>0</v>
      </c>
      <c r="T10" s="6">
        <f ca="1">IFERROR(__xludf.DUMMYFUNCTION("""COMPUTED_VALUE"""),55)</f>
        <v>55</v>
      </c>
    </row>
    <row r="11" spans="1:20">
      <c r="A11" s="6" t="str">
        <f ca="1">IFERROR(__xludf.DUMMYFUNCTION("""COMPUTED_VALUE"""),"REGISTRO CIVIL")</f>
        <v>REGISTRO CIVIL</v>
      </c>
      <c r="B11" s="6" t="str">
        <f ca="1">IFERROR(__xludf.DUMMYFUNCTION("""COMPUTED_VALUE"""),"NACIMIENTOS")</f>
        <v>NACIMIENTOS</v>
      </c>
      <c r="C11" s="6">
        <f ca="1">IFERROR(__xludf.DUMMYFUNCTION("""COMPUTED_VALUE"""),1100)</f>
        <v>1100</v>
      </c>
      <c r="D11" s="6" t="str">
        <f ca="1">IFERROR(__xludf.DUMMYFUNCTION("""COMPUTED_VALUE"""),"NACIMIENTOS")</f>
        <v>NACIMIENTOS</v>
      </c>
      <c r="E11" s="6" t="str">
        <f ca="1">IFERROR(__xludf.DUMMYFUNCTION("""COMPUTED_VALUE"""),"ASCENDENTE")</f>
        <v>ASCENDENTE</v>
      </c>
      <c r="F11" s="6" t="str">
        <f ca="1">IFERROR(__xludf.DUMMYFUNCTION("""COMPUTED_VALUE"""),"BITACORA OPERATIVA")</f>
        <v>BITACORA OPERATIVA</v>
      </c>
      <c r="G11" s="6">
        <f ca="1">IFERROR(__xludf.DUMMYFUNCTION("""COMPUTED_VALUE"""),73.1818181818181)</f>
        <v>73.181818181818102</v>
      </c>
      <c r="H11" s="6">
        <f ca="1">IFERROR(__xludf.DUMMYFUNCTION("""COMPUTED_VALUE"""),68)</f>
        <v>68</v>
      </c>
      <c r="I11" s="6">
        <f ca="1">IFERROR(__xludf.DUMMYFUNCTION("""COMPUTED_VALUE"""),85)</f>
        <v>85</v>
      </c>
      <c r="J11" s="6">
        <f ca="1">IFERROR(__xludf.DUMMYFUNCTION("""COMPUTED_VALUE"""),91)</f>
        <v>91</v>
      </c>
      <c r="K11" s="6">
        <f ca="1">IFERROR(__xludf.DUMMYFUNCTION("""COMPUTED_VALUE"""),82)</f>
        <v>82</v>
      </c>
      <c r="L11" s="6">
        <f ca="1">IFERROR(__xludf.DUMMYFUNCTION("""COMPUTED_VALUE"""),74)</f>
        <v>74</v>
      </c>
      <c r="M11" s="6">
        <f ca="1">IFERROR(__xludf.DUMMYFUNCTION("""COMPUTED_VALUE"""),68)</f>
        <v>68</v>
      </c>
      <c r="N11" s="6">
        <f ca="1">IFERROR(__xludf.DUMMYFUNCTION("""COMPUTED_VALUE"""),110)</f>
        <v>110</v>
      </c>
      <c r="O11" s="6">
        <f ca="1">IFERROR(__xludf.DUMMYFUNCTION("""COMPUTED_VALUE"""),102)</f>
        <v>102</v>
      </c>
      <c r="P11" s="6">
        <f ca="1">IFERROR(__xludf.DUMMYFUNCTION("""COMPUTED_VALUE"""),125)</f>
        <v>125</v>
      </c>
      <c r="Q11" s="6">
        <f ca="1">IFERROR(__xludf.DUMMYFUNCTION("""COMPUTED_VALUE"""),0)</f>
        <v>0</v>
      </c>
      <c r="R11" s="6">
        <f ca="1">IFERROR(__xludf.DUMMYFUNCTION("""COMPUTED_VALUE"""),0)</f>
        <v>0</v>
      </c>
      <c r="S11" s="6">
        <f ca="1">IFERROR(__xludf.DUMMYFUNCTION("""COMPUTED_VALUE"""),0)</f>
        <v>0</v>
      </c>
      <c r="T11" s="6">
        <f ca="1">IFERROR(__xludf.DUMMYFUNCTION("""COMPUTED_VALUE"""),805)</f>
        <v>805</v>
      </c>
    </row>
    <row r="12" spans="1:20">
      <c r="A12" s="6"/>
      <c r="B12" s="6" t="str">
        <f ca="1">IFERROR(__xludf.DUMMYFUNCTION("""COMPUTED_VALUE"""),"DEFUNCIONES")</f>
        <v>DEFUNCIONES</v>
      </c>
      <c r="C12" s="6">
        <f ca="1">IFERROR(__xludf.DUMMYFUNCTION("""COMPUTED_VALUE"""),530)</f>
        <v>530</v>
      </c>
      <c r="D12" s="6" t="str">
        <f ca="1">IFERROR(__xludf.DUMMYFUNCTION("""COMPUTED_VALUE"""),"DEFUNCIONES")</f>
        <v>DEFUNCIONES</v>
      </c>
      <c r="E12" s="6" t="str">
        <f ca="1">IFERROR(__xludf.DUMMYFUNCTION("""COMPUTED_VALUE"""),"DESCENDENTE")</f>
        <v>DESCENDENTE</v>
      </c>
      <c r="F12" s="6" t="str">
        <f ca="1">IFERROR(__xludf.DUMMYFUNCTION("""COMPUTED_VALUE"""),"BITACORA OPERATIVA")</f>
        <v>BITACORA OPERATIVA</v>
      </c>
      <c r="G12" s="6">
        <f ca="1">IFERROR(__xludf.DUMMYFUNCTION("""COMPUTED_VALUE"""),72.4528301886792)</f>
        <v>72.452830188679201</v>
      </c>
      <c r="H12" s="6">
        <f ca="1">IFERROR(__xludf.DUMMYFUNCTION("""COMPUTED_VALUE"""),42)</f>
        <v>42</v>
      </c>
      <c r="I12" s="6">
        <f ca="1">IFERROR(__xludf.DUMMYFUNCTION("""COMPUTED_VALUE"""),58)</f>
        <v>58</v>
      </c>
      <c r="J12" s="6">
        <f ca="1">IFERROR(__xludf.DUMMYFUNCTION("""COMPUTED_VALUE"""),57)</f>
        <v>57</v>
      </c>
      <c r="K12" s="6">
        <f ca="1">IFERROR(__xludf.DUMMYFUNCTION("""COMPUTED_VALUE"""),62)</f>
        <v>62</v>
      </c>
      <c r="L12" s="6">
        <f ca="1">IFERROR(__xludf.DUMMYFUNCTION("""COMPUTED_VALUE"""),57)</f>
        <v>57</v>
      </c>
      <c r="M12" s="6">
        <f ca="1">IFERROR(__xludf.DUMMYFUNCTION("""COMPUTED_VALUE"""),35)</f>
        <v>35</v>
      </c>
      <c r="N12" s="6">
        <f ca="1">IFERROR(__xludf.DUMMYFUNCTION("""COMPUTED_VALUE"""),28)</f>
        <v>28</v>
      </c>
      <c r="O12" s="6">
        <f ca="1">IFERROR(__xludf.DUMMYFUNCTION("""COMPUTED_VALUE"""),25)</f>
        <v>25</v>
      </c>
      <c r="P12" s="6">
        <f ca="1">IFERROR(__xludf.DUMMYFUNCTION("""COMPUTED_VALUE"""),20)</f>
        <v>20</v>
      </c>
      <c r="Q12" s="6">
        <f ca="1">IFERROR(__xludf.DUMMYFUNCTION("""COMPUTED_VALUE"""),0)</f>
        <v>0</v>
      </c>
      <c r="R12" s="6">
        <f ca="1">IFERROR(__xludf.DUMMYFUNCTION("""COMPUTED_VALUE"""),0)</f>
        <v>0</v>
      </c>
      <c r="S12" s="6">
        <f ca="1">IFERROR(__xludf.DUMMYFUNCTION("""COMPUTED_VALUE"""),0)</f>
        <v>0</v>
      </c>
      <c r="T12" s="6">
        <f ca="1">IFERROR(__xludf.DUMMYFUNCTION("""COMPUTED_VALUE"""),384)</f>
        <v>384</v>
      </c>
    </row>
    <row r="13" spans="1:20">
      <c r="A13" s="6"/>
      <c r="B13" s="6" t="str">
        <f ca="1">IFERROR(__xludf.DUMMYFUNCTION("""COMPUTED_VALUE"""),"DIVORCIOS")</f>
        <v>DIVORCIOS</v>
      </c>
      <c r="C13" s="6">
        <f ca="1">IFERROR(__xludf.DUMMYFUNCTION("""COMPUTED_VALUE"""),92)</f>
        <v>92</v>
      </c>
      <c r="D13" s="6" t="str">
        <f ca="1">IFERROR(__xludf.DUMMYFUNCTION("""COMPUTED_VALUE"""),"DIVORCIOS")</f>
        <v>DIVORCIOS</v>
      </c>
      <c r="E13" s="6" t="str">
        <f ca="1">IFERROR(__xludf.DUMMYFUNCTION("""COMPUTED_VALUE"""),"ASCENDENTE")</f>
        <v>ASCENDENTE</v>
      </c>
      <c r="F13" s="6" t="str">
        <f ca="1">IFERROR(__xludf.DUMMYFUNCTION("""COMPUTED_VALUE"""),"BITACORA OPERATIVA")</f>
        <v>BITACORA OPERATIVA</v>
      </c>
      <c r="G13" s="6">
        <f ca="1">IFERROR(__xludf.DUMMYFUNCTION("""COMPUTED_VALUE"""),85.8695652173913)</f>
        <v>85.869565217391298</v>
      </c>
      <c r="H13" s="6">
        <f ca="1">IFERROR(__xludf.DUMMYFUNCTION("""COMPUTED_VALUE"""),12)</f>
        <v>12</v>
      </c>
      <c r="I13" s="6">
        <f ca="1">IFERROR(__xludf.DUMMYFUNCTION("""COMPUTED_VALUE"""),7)</f>
        <v>7</v>
      </c>
      <c r="J13" s="6">
        <f ca="1">IFERROR(__xludf.DUMMYFUNCTION("""COMPUTED_VALUE"""),11)</f>
        <v>11</v>
      </c>
      <c r="K13" s="6">
        <f ca="1">IFERROR(__xludf.DUMMYFUNCTION("""COMPUTED_VALUE"""),9)</f>
        <v>9</v>
      </c>
      <c r="L13" s="6">
        <f ca="1">IFERROR(__xludf.DUMMYFUNCTION("""COMPUTED_VALUE"""),11)</f>
        <v>11</v>
      </c>
      <c r="M13" s="6">
        <f ca="1">IFERROR(__xludf.DUMMYFUNCTION("""COMPUTED_VALUE"""),7)</f>
        <v>7</v>
      </c>
      <c r="N13" s="6">
        <f ca="1">IFERROR(__xludf.DUMMYFUNCTION("""COMPUTED_VALUE"""),8)</f>
        <v>8</v>
      </c>
      <c r="O13" s="6">
        <f ca="1">IFERROR(__xludf.DUMMYFUNCTION("""COMPUTED_VALUE"""),9)</f>
        <v>9</v>
      </c>
      <c r="P13" s="6">
        <f ca="1">IFERROR(__xludf.DUMMYFUNCTION("""COMPUTED_VALUE"""),5)</f>
        <v>5</v>
      </c>
      <c r="Q13" s="6">
        <f ca="1">IFERROR(__xludf.DUMMYFUNCTION("""COMPUTED_VALUE"""),0)</f>
        <v>0</v>
      </c>
      <c r="R13" s="6">
        <f ca="1">IFERROR(__xludf.DUMMYFUNCTION("""COMPUTED_VALUE"""),0)</f>
        <v>0</v>
      </c>
      <c r="S13" s="6">
        <f ca="1">IFERROR(__xludf.DUMMYFUNCTION("""COMPUTED_VALUE"""),0)</f>
        <v>0</v>
      </c>
      <c r="T13" s="6">
        <f ca="1">IFERROR(__xludf.DUMMYFUNCTION("""COMPUTED_VALUE"""),79)</f>
        <v>79</v>
      </c>
    </row>
    <row r="14" spans="1:20">
      <c r="A14" s="6"/>
      <c r="B14" s="6" t="str">
        <f ca="1">IFERROR(__xludf.DUMMYFUNCTION("""COMPUTED_VALUE"""),"MATRIMONIO")</f>
        <v>MATRIMONIO</v>
      </c>
      <c r="C14" s="6">
        <f ca="1">IFERROR(__xludf.DUMMYFUNCTION("""COMPUTED_VALUE"""),180)</f>
        <v>180</v>
      </c>
      <c r="D14" s="6" t="str">
        <f ca="1">IFERROR(__xludf.DUMMYFUNCTION("""COMPUTED_VALUE"""),"MATRIONIOS")</f>
        <v>MATRIONIOS</v>
      </c>
      <c r="E14" s="6" t="str">
        <f ca="1">IFERROR(__xludf.DUMMYFUNCTION("""COMPUTED_VALUE"""),"ASCENDENTE")</f>
        <v>ASCENDENTE</v>
      </c>
      <c r="F14" s="6" t="str">
        <f ca="1">IFERROR(__xludf.DUMMYFUNCTION("""COMPUTED_VALUE"""),"BITACORA OPERATIVA")</f>
        <v>BITACORA OPERATIVA</v>
      </c>
      <c r="G14" s="6">
        <f ca="1">IFERROR(__xludf.DUMMYFUNCTION("""COMPUTED_VALUE"""),98.3333333333333)</f>
        <v>98.3333333333333</v>
      </c>
      <c r="H14" s="6">
        <f ca="1">IFERROR(__xludf.DUMMYFUNCTION("""COMPUTED_VALUE"""),17)</f>
        <v>17</v>
      </c>
      <c r="I14" s="6">
        <f ca="1">IFERROR(__xludf.DUMMYFUNCTION("""COMPUTED_VALUE"""),23)</f>
        <v>23</v>
      </c>
      <c r="J14" s="6">
        <f ca="1">IFERROR(__xludf.DUMMYFUNCTION("""COMPUTED_VALUE"""),16)</f>
        <v>16</v>
      </c>
      <c r="K14" s="6">
        <f ca="1">IFERROR(__xludf.DUMMYFUNCTION("""COMPUTED_VALUE"""),19)</f>
        <v>19</v>
      </c>
      <c r="L14" s="6">
        <f ca="1">IFERROR(__xludf.DUMMYFUNCTION("""COMPUTED_VALUE"""),17)</f>
        <v>17</v>
      </c>
      <c r="M14" s="6">
        <f ca="1">IFERROR(__xludf.DUMMYFUNCTION("""COMPUTED_VALUE"""),18)</f>
        <v>18</v>
      </c>
      <c r="N14" s="6">
        <f ca="1">IFERROR(__xludf.DUMMYFUNCTION("""COMPUTED_VALUE"""),17)</f>
        <v>17</v>
      </c>
      <c r="O14" s="6">
        <f ca="1">IFERROR(__xludf.DUMMYFUNCTION("""COMPUTED_VALUE"""),37)</f>
        <v>37</v>
      </c>
      <c r="P14" s="6">
        <f ca="1">IFERROR(__xludf.DUMMYFUNCTION("""COMPUTED_VALUE"""),13)</f>
        <v>13</v>
      </c>
      <c r="Q14" s="6">
        <f ca="1">IFERROR(__xludf.DUMMYFUNCTION("""COMPUTED_VALUE"""),0)</f>
        <v>0</v>
      </c>
      <c r="R14" s="6">
        <f ca="1">IFERROR(__xludf.DUMMYFUNCTION("""COMPUTED_VALUE"""),0)</f>
        <v>0</v>
      </c>
      <c r="S14" s="6">
        <f ca="1">IFERROR(__xludf.DUMMYFUNCTION("""COMPUTED_VALUE"""),0)</f>
        <v>0</v>
      </c>
      <c r="T14" s="6">
        <f ca="1">IFERROR(__xludf.DUMMYFUNCTION("""COMPUTED_VALUE"""),177)</f>
        <v>177</v>
      </c>
    </row>
    <row r="15" spans="1:20">
      <c r="A15" s="6"/>
      <c r="B15" s="6" t="str">
        <f ca="1">IFERROR(__xludf.DUMMYFUNCTION("""COMPUTED_VALUE"""),"ACLARACIONES")</f>
        <v>ACLARACIONES</v>
      </c>
      <c r="C15" s="6">
        <f ca="1">IFERROR(__xludf.DUMMYFUNCTION("""COMPUTED_VALUE"""),129)</f>
        <v>129</v>
      </c>
      <c r="D15" s="6" t="str">
        <f ca="1">IFERROR(__xludf.DUMMYFUNCTION("""COMPUTED_VALUE"""),"ACLARACIONES")</f>
        <v>ACLARACIONES</v>
      </c>
      <c r="E15" s="6" t="str">
        <f ca="1">IFERROR(__xludf.DUMMYFUNCTION("""COMPUTED_VALUE"""),"ASCENDENTE")</f>
        <v>ASCENDENTE</v>
      </c>
      <c r="F15" s="6" t="str">
        <f ca="1">IFERROR(__xludf.DUMMYFUNCTION("""COMPUTED_VALUE"""),"BITACORA OPERATIVA")</f>
        <v>BITACORA OPERATIVA</v>
      </c>
      <c r="G15" s="6">
        <f ca="1">IFERROR(__xludf.DUMMYFUNCTION("""COMPUTED_VALUE"""),96.1240310077519)</f>
        <v>96.124031007751896</v>
      </c>
      <c r="H15" s="6">
        <f ca="1">IFERROR(__xludf.DUMMYFUNCTION("""COMPUTED_VALUE"""),26)</f>
        <v>26</v>
      </c>
      <c r="I15" s="6">
        <f ca="1">IFERROR(__xludf.DUMMYFUNCTION("""COMPUTED_VALUE"""),18)</f>
        <v>18</v>
      </c>
      <c r="J15" s="6">
        <f ca="1">IFERROR(__xludf.DUMMYFUNCTION("""COMPUTED_VALUE"""),16)</f>
        <v>16</v>
      </c>
      <c r="K15" s="6">
        <f ca="1">IFERROR(__xludf.DUMMYFUNCTION("""COMPUTED_VALUE"""),18)</f>
        <v>18</v>
      </c>
      <c r="L15" s="6">
        <f ca="1">IFERROR(__xludf.DUMMYFUNCTION("""COMPUTED_VALUE"""),11)</f>
        <v>11</v>
      </c>
      <c r="M15" s="6">
        <f ca="1">IFERROR(__xludf.DUMMYFUNCTION("""COMPUTED_VALUE"""),9)</f>
        <v>9</v>
      </c>
      <c r="N15" s="6">
        <f ca="1">IFERROR(__xludf.DUMMYFUNCTION("""COMPUTED_VALUE"""),8)</f>
        <v>8</v>
      </c>
      <c r="O15" s="6">
        <f ca="1">IFERROR(__xludf.DUMMYFUNCTION("""COMPUTED_VALUE"""),9)</f>
        <v>9</v>
      </c>
      <c r="P15" s="6">
        <f ca="1">IFERROR(__xludf.DUMMYFUNCTION("""COMPUTED_VALUE"""),9)</f>
        <v>9</v>
      </c>
      <c r="Q15" s="6">
        <f ca="1">IFERROR(__xludf.DUMMYFUNCTION("""COMPUTED_VALUE"""),0)</f>
        <v>0</v>
      </c>
      <c r="R15" s="6">
        <f ca="1">IFERROR(__xludf.DUMMYFUNCTION("""COMPUTED_VALUE"""),0)</f>
        <v>0</v>
      </c>
      <c r="S15" s="6">
        <f ca="1">IFERROR(__xludf.DUMMYFUNCTION("""COMPUTED_VALUE"""),0)</f>
        <v>0</v>
      </c>
      <c r="T15" s="6">
        <f ca="1">IFERROR(__xludf.DUMMYFUNCTION("""COMPUTED_VALUE"""),124)</f>
        <v>124</v>
      </c>
    </row>
    <row r="16" spans="1:20">
      <c r="A16" s="6"/>
      <c r="B16" s="6" t="str">
        <f ca="1">IFERROR(__xludf.DUMMYFUNCTION("""COMPUTED_VALUE"""),"CONSTANCIAS")</f>
        <v>CONSTANCIAS</v>
      </c>
      <c r="C16" s="6">
        <f ca="1">IFERROR(__xludf.DUMMYFUNCTION("""COMPUTED_VALUE"""),67)</f>
        <v>67</v>
      </c>
      <c r="D16" s="6" t="str">
        <f ca="1">IFERROR(__xludf.DUMMYFUNCTION("""COMPUTED_VALUE"""),"CONSTANCIAS")</f>
        <v>CONSTANCIAS</v>
      </c>
      <c r="E16" s="6" t="str">
        <f ca="1">IFERROR(__xludf.DUMMYFUNCTION("""COMPUTED_VALUE"""),"ASCENDENTE")</f>
        <v>ASCENDENTE</v>
      </c>
      <c r="F16" s="6" t="str">
        <f ca="1">IFERROR(__xludf.DUMMYFUNCTION("""COMPUTED_VALUE"""),"BITACORA OPERATIVA")</f>
        <v>BITACORA OPERATIVA</v>
      </c>
      <c r="G16" s="6">
        <f ca="1">IFERROR(__xludf.DUMMYFUNCTION("""COMPUTED_VALUE"""),88.0597014925373)</f>
        <v>88.0597014925373</v>
      </c>
      <c r="H16" s="6">
        <f ca="1">IFERROR(__xludf.DUMMYFUNCTION("""COMPUTED_VALUE"""),2)</f>
        <v>2</v>
      </c>
      <c r="I16" s="6">
        <f ca="1">IFERROR(__xludf.DUMMYFUNCTION("""COMPUTED_VALUE"""),3)</f>
        <v>3</v>
      </c>
      <c r="J16" s="6">
        <f ca="1">IFERROR(__xludf.DUMMYFUNCTION("""COMPUTED_VALUE"""),1)</f>
        <v>1</v>
      </c>
      <c r="K16" s="6">
        <f ca="1">IFERROR(__xludf.DUMMYFUNCTION("""COMPUTED_VALUE"""),5)</f>
        <v>5</v>
      </c>
      <c r="L16" s="6">
        <f ca="1">IFERROR(__xludf.DUMMYFUNCTION("""COMPUTED_VALUE"""),5)</f>
        <v>5</v>
      </c>
      <c r="M16" s="6">
        <f ca="1">IFERROR(__xludf.DUMMYFUNCTION("""COMPUTED_VALUE"""),5)</f>
        <v>5</v>
      </c>
      <c r="N16" s="6">
        <f ca="1">IFERROR(__xludf.DUMMYFUNCTION("""COMPUTED_VALUE"""),28)</f>
        <v>28</v>
      </c>
      <c r="O16" s="6">
        <f ca="1">IFERROR(__xludf.DUMMYFUNCTION("""COMPUTED_VALUE"""),6)</f>
        <v>6</v>
      </c>
      <c r="P16" s="6">
        <f ca="1">IFERROR(__xludf.DUMMYFUNCTION("""COMPUTED_VALUE"""),4)</f>
        <v>4</v>
      </c>
      <c r="Q16" s="6">
        <f ca="1">IFERROR(__xludf.DUMMYFUNCTION("""COMPUTED_VALUE"""),0)</f>
        <v>0</v>
      </c>
      <c r="R16" s="6">
        <f ca="1">IFERROR(__xludf.DUMMYFUNCTION("""COMPUTED_VALUE"""),0)</f>
        <v>0</v>
      </c>
      <c r="S16" s="6">
        <f ca="1">IFERROR(__xludf.DUMMYFUNCTION("""COMPUTED_VALUE"""),0)</f>
        <v>0</v>
      </c>
      <c r="T16" s="6">
        <f ca="1">IFERROR(__xludf.DUMMYFUNCTION("""COMPUTED_VALUE"""),59)</f>
        <v>59</v>
      </c>
    </row>
    <row r="17" spans="1:20">
      <c r="A17" s="6"/>
      <c r="B17" s="6" t="str">
        <f ca="1">IFERROR(__xludf.DUMMYFUNCTION("""COMPUTED_VALUE"""),"EXPEDICION DE ACTAS")</f>
        <v>EXPEDICION DE ACTAS</v>
      </c>
      <c r="C17" s="6">
        <f ca="1">IFERROR(__xludf.DUMMYFUNCTION("""COMPUTED_VALUE"""),7000)</f>
        <v>7000</v>
      </c>
      <c r="D17" s="6" t="str">
        <f ca="1">IFERROR(__xludf.DUMMYFUNCTION("""COMPUTED_VALUE"""),"ACTAS EXPEDIDAS")</f>
        <v>ACTAS EXPEDIDAS</v>
      </c>
      <c r="E17" s="6" t="str">
        <f ca="1">IFERROR(__xludf.DUMMYFUNCTION("""COMPUTED_VALUE"""),"ASCENDENTE")</f>
        <v>ASCENDENTE</v>
      </c>
      <c r="F17" s="6" t="str">
        <f ca="1">IFERROR(__xludf.DUMMYFUNCTION("""COMPUTED_VALUE"""),"BITACORA OPERATIVA")</f>
        <v>BITACORA OPERATIVA</v>
      </c>
      <c r="G17" s="6">
        <f ca="1">IFERROR(__xludf.DUMMYFUNCTION("""COMPUTED_VALUE"""),90.5428571428571)</f>
        <v>90.542857142857102</v>
      </c>
      <c r="H17" s="6">
        <f ca="1">IFERROR(__xludf.DUMMYFUNCTION("""COMPUTED_VALUE"""),139)</f>
        <v>139</v>
      </c>
      <c r="I17" s="6">
        <f ca="1">IFERROR(__xludf.DUMMYFUNCTION("""COMPUTED_VALUE"""),173)</f>
        <v>173</v>
      </c>
      <c r="J17" s="6">
        <f ca="1">IFERROR(__xludf.DUMMYFUNCTION("""COMPUTED_VALUE"""),175)</f>
        <v>175</v>
      </c>
      <c r="K17" s="6">
        <f ca="1">IFERROR(__xludf.DUMMYFUNCTION("""COMPUTED_VALUE"""),318)</f>
        <v>318</v>
      </c>
      <c r="L17" s="6">
        <f ca="1">IFERROR(__xludf.DUMMYFUNCTION("""COMPUTED_VALUE"""),302)</f>
        <v>302</v>
      </c>
      <c r="M17" s="6">
        <f ca="1">IFERROR(__xludf.DUMMYFUNCTION("""COMPUTED_VALUE"""),283)</f>
        <v>283</v>
      </c>
      <c r="N17" s="6">
        <f ca="1">IFERROR(__xludf.DUMMYFUNCTION("""COMPUTED_VALUE"""),2042)</f>
        <v>2042</v>
      </c>
      <c r="O17" s="6">
        <f ca="1">IFERROR(__xludf.DUMMYFUNCTION("""COMPUTED_VALUE"""),1365)</f>
        <v>1365</v>
      </c>
      <c r="P17" s="6">
        <f ca="1">IFERROR(__xludf.DUMMYFUNCTION("""COMPUTED_VALUE"""),1541)</f>
        <v>1541</v>
      </c>
      <c r="Q17" s="6">
        <f ca="1">IFERROR(__xludf.DUMMYFUNCTION("""COMPUTED_VALUE"""),0)</f>
        <v>0</v>
      </c>
      <c r="R17" s="6">
        <f ca="1">IFERROR(__xludf.DUMMYFUNCTION("""COMPUTED_VALUE"""),0)</f>
        <v>0</v>
      </c>
      <c r="S17" s="6">
        <f ca="1">IFERROR(__xludf.DUMMYFUNCTION("""COMPUTED_VALUE"""),0)</f>
        <v>0</v>
      </c>
      <c r="T17" s="6">
        <f ca="1">IFERROR(__xludf.DUMMYFUNCTION("""COMPUTED_VALUE"""),6338)</f>
        <v>6338</v>
      </c>
    </row>
    <row r="18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outlinePr summaryBelow="0" summaryRight="0"/>
  </sheetPr>
  <dimension ref="A3:A4"/>
  <sheetViews>
    <sheetView workbookViewId="0"/>
  </sheetViews>
  <sheetFormatPr baseColWidth="10" defaultColWidth="11.125" defaultRowHeight="15" customHeight="1"/>
  <sheetData>
    <row r="3" spans="1:1">
      <c r="A3" s="7" t="s">
        <v>165</v>
      </c>
    </row>
    <row r="4" spans="1:1">
      <c r="A4" s="6" t="str">
        <f>UPPER((A3))</f>
        <v>ADMINISTRAR Y MANTENER LOS CEMENTERIOS PÚBLICOS, ASEGURANDO QUE SE CUMPLAN LAS NORMAS Y REGULACIONES APLICABLES EN MATERIA DE INHUMACIONES, EXHUMACIONES Y MANEJO DE RESTOS HUMANOS.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4</vt:i4>
      </vt:variant>
    </vt:vector>
  </HeadingPairs>
  <TitlesOfParts>
    <vt:vector size="29" baseType="lpstr">
      <vt:lpstr>MIRS PRESIDENCIA</vt:lpstr>
      <vt:lpstr>PRESIDENCIA 26</vt:lpstr>
      <vt:lpstr>MIR SECRETARIA GENERAL</vt:lpstr>
      <vt:lpstr>MIR SINDICATURA</vt:lpstr>
      <vt:lpstr>BD SINDICATURA</vt:lpstr>
      <vt:lpstr>BDPRE1</vt:lpstr>
      <vt:lpstr>SINDICATURA 26</vt:lpstr>
      <vt:lpstr>BD SECRETARIA1</vt:lpstr>
      <vt:lpstr>Hoja 2</vt:lpstr>
      <vt:lpstr>MIR TESORERIA</vt:lpstr>
      <vt:lpstr>MIR CATASTRO</vt:lpstr>
      <vt:lpstr>MIR GESTION DE LA CIUDAD</vt:lpstr>
      <vt:lpstr>MIR SERVICIOS GENERALES</vt:lpstr>
      <vt:lpstr>MIR CONSTRUCCION DE LA COMUNIDA</vt:lpstr>
      <vt:lpstr>MIR SECRETARIA GENERAL 26</vt:lpstr>
      <vt:lpstr>PROGRAMAS SOCIALES</vt:lpstr>
      <vt:lpstr>PROTECCION CIVIL</vt:lpstr>
      <vt:lpstr>PROTECCION CIVIL 26</vt:lpstr>
      <vt:lpstr>PROGRAMAS SOCIALES 26</vt:lpstr>
      <vt:lpstr>MIR GABINETE</vt:lpstr>
      <vt:lpstr>MIR UNIDAD MULTIFUNCIONAL </vt:lpstr>
      <vt:lpstr>MIR DESARROLLO ECONOMICO</vt:lpstr>
      <vt:lpstr>MIR CONTRALORIA </vt:lpstr>
      <vt:lpstr>Hoja2</vt:lpstr>
      <vt:lpstr>GASTO CORRIENTE</vt:lpstr>
      <vt:lpstr>'PROGRAMAS SOCIALES'!Área_de_impresión</vt:lpstr>
      <vt:lpstr>'PROGRAMAS SOCIALES 26'!Área_de_impresión</vt:lpstr>
      <vt:lpstr>'PROTECCION CIVIL'!Área_de_impresión</vt:lpstr>
      <vt:lpstr>'PROTECCION CIVIL 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Transparencia</cp:lastModifiedBy>
  <cp:lastPrinted>2026-02-03T20:35:48Z</cp:lastPrinted>
  <dcterms:created xsi:type="dcterms:W3CDTF">2019-09-09T16:06:27Z</dcterms:created>
  <dcterms:modified xsi:type="dcterms:W3CDTF">2026-08-14T18:19:11Z</dcterms:modified>
</cp:coreProperties>
</file>